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ySs\COMPRAS CAJA NOTARIAL\CONCURSO DE PRECIOS\2026\CP 01-26 OBRAS LOCAL OPTICA LUPINACCI\INFORME ARQ. GOLEMBIEWSKI\"/>
    </mc:Choice>
  </mc:AlternateContent>
  <xr:revisionPtr revIDLastSave="0" documentId="13_ncr:1_{D2676E50-A663-4A6A-B26F-C9AAB5ACB6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3" r:id="rId1"/>
    <sheet name="Muros y terminaciones" sheetId="1" r:id="rId2"/>
    <sheet name="Hormigón" sheetId="2" state="hidden" r:id="rId3"/>
    <sheet name="Conteo puertas" sheetId="4" state="hidden" r:id="rId4"/>
    <sheet name="Conteo Placares" sheetId="5" state="hidden" r:id="rId5"/>
    <sheet name="Conteo vent. Alu." sheetId="6" state="hidden" r:id="rId6"/>
    <sheet name="Conteo barandas" sheetId="7" state="hidden" r:id="rId7"/>
    <sheet name="Herrería" sheetId="11" state="hidden" r:id="rId8"/>
    <sheet name="Conteo de granitos" sheetId="8" state="hidden" r:id="rId9"/>
    <sheet name="Conteo de mueble de cocina" sheetId="9" state="hidden" r:id="rId10"/>
    <sheet name="Aparatos sanit. y acc." sheetId="10" state="hidden" r:id="rId11"/>
  </sheets>
  <definedNames>
    <definedName name="dol" localSheetId="0">Presupuesto!#REF!</definedName>
    <definedName name="MES" localSheetId="0">Presupuesto!#REF!</definedName>
    <definedName name="SUP" localSheetId="0">Presupuesto!#REF!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8" l="1"/>
  <c r="M12" i="8"/>
  <c r="M11" i="8"/>
  <c r="N11" i="8"/>
  <c r="M19" i="6"/>
  <c r="L19" i="6"/>
  <c r="N17" i="11" l="1"/>
  <c r="M17" i="11"/>
  <c r="N16" i="11"/>
  <c r="M16" i="11"/>
  <c r="N15" i="11"/>
  <c r="M15" i="11"/>
  <c r="N14" i="11"/>
  <c r="M14" i="11"/>
  <c r="N13" i="11"/>
  <c r="M13" i="11"/>
  <c r="N12" i="11"/>
  <c r="M12" i="11"/>
  <c r="N10" i="11"/>
  <c r="M10" i="11"/>
  <c r="N11" i="11"/>
  <c r="M11" i="11"/>
  <c r="N19" i="7"/>
  <c r="M19" i="7"/>
  <c r="N9" i="11"/>
  <c r="M9" i="11"/>
  <c r="N8" i="11"/>
  <c r="M8" i="11"/>
  <c r="N7" i="11"/>
  <c r="M7" i="11"/>
  <c r="N6" i="11"/>
  <c r="M6" i="11"/>
  <c r="N5" i="11"/>
  <c r="M5" i="11"/>
  <c r="N13" i="10"/>
  <c r="M13" i="10"/>
  <c r="N17" i="10"/>
  <c r="M17" i="10"/>
  <c r="N14" i="10"/>
  <c r="M14" i="10"/>
  <c r="N15" i="10"/>
  <c r="M15" i="10"/>
  <c r="N11" i="10"/>
  <c r="M11" i="10"/>
  <c r="N12" i="10"/>
  <c r="M12" i="10"/>
  <c r="N18" i="10"/>
  <c r="M18" i="10"/>
  <c r="N10" i="10"/>
  <c r="M10" i="10"/>
  <c r="N9" i="10"/>
  <c r="M9" i="10"/>
  <c r="N8" i="10"/>
  <c r="M8" i="10"/>
  <c r="N16" i="10"/>
  <c r="M16" i="10"/>
  <c r="N7" i="10"/>
  <c r="M7" i="10"/>
  <c r="N6" i="10"/>
  <c r="M6" i="10"/>
  <c r="N5" i="10"/>
  <c r="M5" i="10"/>
  <c r="N10" i="9"/>
  <c r="M10" i="9"/>
  <c r="N9" i="9"/>
  <c r="M9" i="9"/>
  <c r="N8" i="9"/>
  <c r="M8" i="9"/>
  <c r="N7" i="9"/>
  <c r="M7" i="9"/>
  <c r="N6" i="9"/>
  <c r="M6" i="9"/>
  <c r="N5" i="9"/>
  <c r="M5" i="9"/>
  <c r="N16" i="8"/>
  <c r="M16" i="8"/>
  <c r="N15" i="8"/>
  <c r="M15" i="8"/>
  <c r="N14" i="8"/>
  <c r="M14" i="8"/>
  <c r="N13" i="8"/>
  <c r="M13" i="8"/>
  <c r="N10" i="8"/>
  <c r="M10" i="8"/>
  <c r="N9" i="8"/>
  <c r="M9" i="8"/>
  <c r="N8" i="8"/>
  <c r="M8" i="8"/>
  <c r="N7" i="8"/>
  <c r="M7" i="8"/>
  <c r="N6" i="8"/>
  <c r="M6" i="8"/>
  <c r="N5" i="8"/>
  <c r="M5" i="8"/>
  <c r="M17" i="6"/>
  <c r="L17" i="6"/>
  <c r="N20" i="7"/>
  <c r="M20" i="7"/>
  <c r="N18" i="7"/>
  <c r="M18" i="7"/>
  <c r="N17" i="7"/>
  <c r="M17" i="7"/>
  <c r="N16" i="7"/>
  <c r="M16" i="7"/>
  <c r="N15" i="7"/>
  <c r="M15" i="7"/>
  <c r="N14" i="7"/>
  <c r="M14" i="7"/>
  <c r="N13" i="7"/>
  <c r="M13" i="7"/>
  <c r="N12" i="7"/>
  <c r="M12" i="7"/>
  <c r="N11" i="7"/>
  <c r="M11" i="7"/>
  <c r="N10" i="7"/>
  <c r="M10" i="7"/>
  <c r="N9" i="7"/>
  <c r="M9" i="7"/>
  <c r="N8" i="7"/>
  <c r="M8" i="7"/>
  <c r="N7" i="7"/>
  <c r="M7" i="7"/>
  <c r="N6" i="7"/>
  <c r="M6" i="7"/>
  <c r="N5" i="7"/>
  <c r="M5" i="7"/>
  <c r="M16" i="6"/>
  <c r="L16" i="6"/>
  <c r="M15" i="6"/>
  <c r="L15" i="6"/>
  <c r="M15" i="5"/>
  <c r="L15" i="5"/>
  <c r="M18" i="6"/>
  <c r="L18" i="6"/>
  <c r="M14" i="6"/>
  <c r="L14" i="6"/>
  <c r="M13" i="6"/>
  <c r="L13" i="6"/>
  <c r="M12" i="6"/>
  <c r="L12" i="6"/>
  <c r="M11" i="6"/>
  <c r="L11" i="6"/>
  <c r="M10" i="6"/>
  <c r="L10" i="6"/>
  <c r="M9" i="6"/>
  <c r="L9" i="6"/>
  <c r="M8" i="6"/>
  <c r="L8" i="6"/>
  <c r="M7" i="6"/>
  <c r="L7" i="6"/>
  <c r="M6" i="6"/>
  <c r="L6" i="6"/>
  <c r="M5" i="6"/>
  <c r="L5" i="6"/>
  <c r="L6" i="5"/>
  <c r="M6" i="5"/>
  <c r="L7" i="5"/>
  <c r="M7" i="5"/>
  <c r="L8" i="5"/>
  <c r="M8" i="5"/>
  <c r="L9" i="5"/>
  <c r="M9" i="5"/>
  <c r="L10" i="5"/>
  <c r="M10" i="5"/>
  <c r="L11" i="5"/>
  <c r="M11" i="5"/>
  <c r="L12" i="5"/>
  <c r="M12" i="5"/>
  <c r="L13" i="5"/>
  <c r="M13" i="5"/>
  <c r="L14" i="5"/>
  <c r="M14" i="5"/>
  <c r="L16" i="5"/>
  <c r="M16" i="5"/>
  <c r="M5" i="5"/>
  <c r="L5" i="5"/>
  <c r="E28" i="4"/>
  <c r="E29" i="4"/>
  <c r="E27" i="4"/>
  <c r="E6" i="4"/>
  <c r="E5" i="4"/>
  <c r="E26" i="4"/>
  <c r="E24" i="4"/>
  <c r="E23" i="4"/>
  <c r="E22" i="4"/>
  <c r="E20" i="4"/>
  <c r="E19" i="4"/>
  <c r="E18" i="4"/>
  <c r="E14" i="4"/>
  <c r="E10" i="4"/>
  <c r="E16" i="4"/>
  <c r="E15" i="4"/>
  <c r="E12" i="4"/>
  <c r="E11" i="4"/>
  <c r="E8" i="4"/>
  <c r="E7" i="4"/>
  <c r="E33" i="4" l="1"/>
  <c r="E30" i="4"/>
  <c r="E34" i="4"/>
  <c r="E32" i="4"/>
  <c r="E35" i="4"/>
  <c r="R16" i="1"/>
  <c r="S16" i="1" s="1"/>
  <c r="P16" i="1"/>
  <c r="C77" i="1"/>
  <c r="Q16" i="1"/>
  <c r="G68" i="1"/>
  <c r="F67" i="1"/>
  <c r="C66" i="1"/>
  <c r="G57" i="1"/>
  <c r="G60" i="1"/>
  <c r="G59" i="1"/>
  <c r="D59" i="1"/>
  <c r="D60" i="1"/>
  <c r="C57" i="1"/>
  <c r="D57" i="1" s="1"/>
  <c r="C59" i="1"/>
  <c r="V44" i="1"/>
  <c r="V46" i="1" s="1"/>
  <c r="W43" i="1"/>
  <c r="T45" i="1"/>
  <c r="T46" i="1" s="1"/>
  <c r="T44" i="1"/>
  <c r="T47" i="1"/>
  <c r="U47" i="1" s="1"/>
  <c r="R47" i="1"/>
  <c r="S47" i="1" s="1"/>
  <c r="R44" i="1"/>
  <c r="R46" i="1" s="1"/>
  <c r="P44" i="1"/>
  <c r="P46" i="1" s="1"/>
  <c r="Q46" i="1" s="1"/>
  <c r="Q47" i="1"/>
  <c r="E59" i="1" s="1"/>
  <c r="L45" i="1"/>
  <c r="M45" i="1" s="1"/>
  <c r="D75" i="1" s="1"/>
  <c r="L44" i="1"/>
  <c r="H47" i="1"/>
  <c r="I47" i="1" s="1"/>
  <c r="H44" i="1"/>
  <c r="H46" i="1" s="1"/>
  <c r="G47" i="1"/>
  <c r="F46" i="1"/>
  <c r="G46" i="1" s="1"/>
  <c r="E76" i="1" s="1"/>
  <c r="E75" i="1" s="1"/>
  <c r="F45" i="1"/>
  <c r="F44" i="1"/>
  <c r="E43" i="1"/>
  <c r="N47" i="1"/>
  <c r="O47" i="1" s="1"/>
  <c r="M47" i="1"/>
  <c r="O45" i="1"/>
  <c r="U45" i="1" l="1"/>
  <c r="L46" i="1"/>
  <c r="P45" i="1"/>
  <c r="Q45" i="1" s="1"/>
  <c r="R45" i="1"/>
  <c r="S45" i="1" s="1"/>
  <c r="H45" i="1"/>
  <c r="I45" i="1" s="1"/>
  <c r="V45" i="1"/>
  <c r="W45" i="1" s="1"/>
  <c r="W47" i="1"/>
  <c r="G45" i="1"/>
  <c r="R36" i="1"/>
  <c r="Q31" i="1"/>
  <c r="R31" i="1" s="1"/>
  <c r="Q27" i="1"/>
  <c r="R27" i="1" s="1"/>
  <c r="Q23" i="1"/>
  <c r="R23" i="1" s="1"/>
  <c r="P22" i="1"/>
  <c r="E57" i="1" l="1"/>
  <c r="N36" i="1" l="1"/>
  <c r="K36" i="1"/>
  <c r="L36" i="1" s="1"/>
  <c r="N31" i="1"/>
  <c r="M16" i="1"/>
  <c r="K22" i="1"/>
  <c r="N23" i="1"/>
  <c r="N27" i="1"/>
  <c r="K27" i="1"/>
  <c r="K31" i="1" s="1"/>
  <c r="L31" i="1" s="1"/>
  <c r="K23" i="1"/>
  <c r="L23" i="1" s="1"/>
  <c r="G37" i="1"/>
  <c r="H37" i="1" s="1"/>
  <c r="G35" i="1"/>
  <c r="H35" i="1" s="1"/>
  <c r="E37" i="1"/>
  <c r="E35" i="1"/>
  <c r="E22" i="1"/>
  <c r="G25" i="1"/>
  <c r="H32" i="1"/>
  <c r="H28" i="1"/>
  <c r="H24" i="1"/>
  <c r="E31" i="1"/>
  <c r="E27" i="1"/>
  <c r="E23" i="1"/>
  <c r="I23" i="1"/>
  <c r="J23" i="1" s="1"/>
  <c r="E34" i="1"/>
  <c r="E30" i="1" s="1"/>
  <c r="G30" i="1" s="1"/>
  <c r="H30" i="1" s="1"/>
  <c r="E26" i="1"/>
  <c r="E29" i="1"/>
  <c r="G29" i="1" s="1"/>
  <c r="H29" i="1" s="1"/>
  <c r="H27" i="1"/>
  <c r="E33" i="1"/>
  <c r="E25" i="1"/>
  <c r="E32" i="1"/>
  <c r="E28" i="1" s="1"/>
  <c r="E24" i="1"/>
  <c r="R8" i="1"/>
  <c r="R12" i="1" s="1"/>
  <c r="P8" i="1"/>
  <c r="P12" i="1" s="1"/>
  <c r="O7" i="1"/>
  <c r="M13" i="1"/>
  <c r="M9" i="1"/>
  <c r="M7" i="1"/>
  <c r="E7" i="1"/>
  <c r="C76" i="1" l="1"/>
  <c r="C75" i="1"/>
  <c r="L27" i="1"/>
  <c r="I27" i="1"/>
  <c r="J27" i="1" s="1"/>
  <c r="I31" i="1"/>
  <c r="J31" i="1" s="1"/>
  <c r="F30" i="1"/>
  <c r="O30" i="1" s="1"/>
  <c r="F27" i="1"/>
  <c r="F29" i="1"/>
  <c r="O29" i="1" s="1"/>
  <c r="E16" i="1"/>
  <c r="E12" i="1"/>
  <c r="E13" i="1"/>
  <c r="I13" i="1"/>
  <c r="E8" i="1"/>
  <c r="G13" i="1"/>
  <c r="E9" i="1"/>
  <c r="G9" i="1"/>
  <c r="I9" i="1"/>
  <c r="C7" i="2"/>
  <c r="C44" i="2"/>
  <c r="C43" i="2"/>
  <c r="C42" i="2"/>
  <c r="G42" i="2"/>
  <c r="J42" i="2" s="1"/>
  <c r="G41" i="2"/>
  <c r="C40" i="2"/>
  <c r="G40" i="2" s="1"/>
  <c r="J40" i="2" s="1"/>
  <c r="C39" i="2"/>
  <c r="D32" i="2"/>
  <c r="D31" i="2"/>
  <c r="D30" i="2"/>
  <c r="O27" i="1" l="1"/>
  <c r="G75" i="1"/>
  <c r="G24" i="2"/>
  <c r="J24" i="2" s="1"/>
  <c r="G23" i="2"/>
  <c r="J23" i="2" s="1"/>
  <c r="G22" i="2"/>
  <c r="J22" i="2" s="1"/>
  <c r="U13" i="1" l="1"/>
  <c r="U9" i="1"/>
  <c r="H12" i="3" l="1"/>
  <c r="C73" i="1"/>
  <c r="E48" i="1"/>
  <c r="D48" i="1"/>
  <c r="C81" i="1"/>
  <c r="C82" i="1"/>
  <c r="D82" i="1" s="1"/>
  <c r="B81" i="1"/>
  <c r="U46" i="1"/>
  <c r="S46" i="1"/>
  <c r="N46" i="1"/>
  <c r="O46" i="1" s="1"/>
  <c r="I46" i="1"/>
  <c r="M46" i="1"/>
  <c r="D76" i="1" s="1"/>
  <c r="U43" i="1"/>
  <c r="U44" i="1"/>
  <c r="S44" i="1"/>
  <c r="O43" i="1"/>
  <c r="Q43" i="1"/>
  <c r="Q44" i="1"/>
  <c r="E56" i="1" s="1"/>
  <c r="O44" i="1"/>
  <c r="I44" i="1"/>
  <c r="I43" i="1"/>
  <c r="G43" i="1"/>
  <c r="D73" i="1" s="1"/>
  <c r="G44" i="1"/>
  <c r="E74" i="1" s="1"/>
  <c r="E58" i="1" l="1"/>
  <c r="E61" i="1" s="1"/>
  <c r="H7" i="3"/>
  <c r="E78" i="1"/>
  <c r="D49" i="1"/>
  <c r="D50" i="1" s="1"/>
  <c r="S48" i="1"/>
  <c r="S49" i="1" s="1"/>
  <c r="S50" i="1" s="1"/>
  <c r="Q48" i="1"/>
  <c r="U48" i="1"/>
  <c r="U50" i="1" s="1"/>
  <c r="D81" i="1"/>
  <c r="I48" i="1"/>
  <c r="O48" i="1"/>
  <c r="O50" i="1" s="1"/>
  <c r="W46" i="1"/>
  <c r="W44" i="1"/>
  <c r="H31" i="1"/>
  <c r="H23" i="1"/>
  <c r="N22" i="1"/>
  <c r="L22" i="1"/>
  <c r="F73" i="1" s="1"/>
  <c r="H22" i="1"/>
  <c r="Q12" i="1"/>
  <c r="N16" i="1"/>
  <c r="F16" i="1"/>
  <c r="N15" i="1"/>
  <c r="N13" i="1"/>
  <c r="J13" i="1"/>
  <c r="H13" i="1"/>
  <c r="F14" i="1"/>
  <c r="F13" i="1"/>
  <c r="F12" i="1"/>
  <c r="S12" i="1"/>
  <c r="L12" i="1"/>
  <c r="J12" i="1"/>
  <c r="H12" i="1"/>
  <c r="N11" i="1"/>
  <c r="N9" i="1"/>
  <c r="F57" i="1" l="1"/>
  <c r="F58" i="1" s="1"/>
  <c r="F76" i="1"/>
  <c r="F75" i="1"/>
  <c r="F59" i="1"/>
  <c r="F77" i="1"/>
  <c r="F56" i="1"/>
  <c r="F74" i="1"/>
  <c r="I49" i="1"/>
  <c r="I50" i="1" s="1"/>
  <c r="F22" i="1"/>
  <c r="G73" i="1" s="1"/>
  <c r="G26" i="1"/>
  <c r="H26" i="1" s="1"/>
  <c r="F34" i="1"/>
  <c r="O34" i="1" s="1"/>
  <c r="F31" i="1"/>
  <c r="G48" i="1"/>
  <c r="D67" i="1" s="1"/>
  <c r="G33" i="1"/>
  <c r="H33" i="1" s="1"/>
  <c r="H25" i="1"/>
  <c r="F23" i="1"/>
  <c r="F37" i="1"/>
  <c r="O37" i="1" s="1"/>
  <c r="Q49" i="1"/>
  <c r="Q50" i="1" s="1"/>
  <c r="P38" i="1"/>
  <c r="W48" i="1"/>
  <c r="F25" i="1"/>
  <c r="O25" i="1" s="1"/>
  <c r="F26" i="1"/>
  <c r="O26" i="1" s="1"/>
  <c r="O17" i="1"/>
  <c r="G34" i="1"/>
  <c r="H34" i="1" s="1"/>
  <c r="F33" i="1"/>
  <c r="O33" i="1" s="1"/>
  <c r="N17" i="1"/>
  <c r="F9" i="1"/>
  <c r="J9" i="1"/>
  <c r="H9" i="1"/>
  <c r="F10" i="1"/>
  <c r="D5" i="2"/>
  <c r="G13" i="2"/>
  <c r="J13" i="2" s="1"/>
  <c r="J14" i="2" s="1"/>
  <c r="G7" i="2"/>
  <c r="J7" i="2" s="1"/>
  <c r="J8" i="2" s="1"/>
  <c r="G44" i="2"/>
  <c r="J44" i="2" s="1"/>
  <c r="G43" i="2"/>
  <c r="J43" i="2" s="1"/>
  <c r="J41" i="2"/>
  <c r="G32" i="2"/>
  <c r="J32" i="2" s="1"/>
  <c r="G31" i="2"/>
  <c r="J31" i="2" s="1"/>
  <c r="G27" i="2"/>
  <c r="J27" i="2" s="1"/>
  <c r="G26" i="2"/>
  <c r="J26" i="2" s="1"/>
  <c r="G25" i="2"/>
  <c r="J25" i="2" s="1"/>
  <c r="G21" i="2"/>
  <c r="J21" i="2" s="1"/>
  <c r="G20" i="2"/>
  <c r="J20" i="2" s="1"/>
  <c r="G19" i="2"/>
  <c r="J19" i="2" s="1"/>
  <c r="G39" i="2"/>
  <c r="J39" i="2" s="1"/>
  <c r="G45" i="2"/>
  <c r="J45" i="2" s="1"/>
  <c r="G38" i="2"/>
  <c r="J38" i="2" s="1"/>
  <c r="G35" i="2"/>
  <c r="J35" i="2" s="1"/>
  <c r="J36" i="2" s="1"/>
  <c r="G30" i="2"/>
  <c r="J30" i="2" s="1"/>
  <c r="G18" i="2"/>
  <c r="J18" i="2" s="1"/>
  <c r="G17" i="2"/>
  <c r="J17" i="2" s="1"/>
  <c r="G16" i="2"/>
  <c r="J16" i="2" s="1"/>
  <c r="O23" i="1" l="1"/>
  <c r="G74" i="1"/>
  <c r="O31" i="1"/>
  <c r="G76" i="1"/>
  <c r="G49" i="1"/>
  <c r="G50" i="1" s="1"/>
  <c r="O22" i="1"/>
  <c r="F78" i="1"/>
  <c r="F35" i="1"/>
  <c r="J38" i="1"/>
  <c r="W50" i="1"/>
  <c r="J33" i="2"/>
  <c r="J28" i="2"/>
  <c r="D10" i="2"/>
  <c r="G10" i="2" s="1"/>
  <c r="J10" i="2" s="1"/>
  <c r="J11" i="2" s="1"/>
  <c r="J46" i="2"/>
  <c r="O35" i="1" l="1"/>
  <c r="G77" i="1"/>
  <c r="O38" i="1"/>
  <c r="G78" i="1"/>
  <c r="H68" i="1"/>
  <c r="H20" i="3" l="1"/>
  <c r="H25" i="3" s="1"/>
  <c r="H28" i="3" s="1"/>
  <c r="F68" i="1"/>
  <c r="G61" i="1" l="1"/>
  <c r="C61" i="1"/>
  <c r="C68" i="1"/>
  <c r="R38" i="1" l="1"/>
  <c r="K43" i="1"/>
  <c r="K48" i="1" s="1"/>
  <c r="K50" i="1" s="1"/>
  <c r="L38" i="1" l="1"/>
  <c r="M44" i="1"/>
  <c r="N38" i="1"/>
  <c r="S8" i="1"/>
  <c r="Q8" i="1"/>
  <c r="C74" i="1" s="1"/>
  <c r="C78" i="1" s="1"/>
  <c r="F8" i="1"/>
  <c r="H7" i="1"/>
  <c r="D74" i="1" l="1"/>
  <c r="D78" i="1" s="1"/>
  <c r="M48" i="1"/>
  <c r="Q7" i="1"/>
  <c r="Q17" i="1" s="1"/>
  <c r="F7" i="1"/>
  <c r="S7" i="1"/>
  <c r="S17" i="1" s="1"/>
  <c r="H8" i="1"/>
  <c r="H17" i="1" s="1"/>
  <c r="J8" i="1"/>
  <c r="J17" i="1" s="1"/>
  <c r="L8" i="1"/>
  <c r="L17" i="1" s="1"/>
  <c r="F38" i="1"/>
  <c r="H38" i="1"/>
  <c r="E67" i="1" l="1"/>
  <c r="E68" i="1" s="1"/>
  <c r="F17" i="1"/>
  <c r="U7" i="1"/>
  <c r="U17" i="1" s="1"/>
  <c r="M49" i="1"/>
  <c r="M50" i="1" s="1"/>
  <c r="D68" i="1"/>
  <c r="D61" i="1" l="1"/>
  <c r="F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Sebastián Golembiewski</author>
  </authors>
  <commentList>
    <comment ref="P2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Sebastián Golembiewski:</t>
        </r>
        <r>
          <rPr>
            <sz val="9"/>
            <color indexed="81"/>
            <rFont val="Tahoma"/>
            <family val="2"/>
          </rPr>
          <t xml:space="preserve">
En patio supongo una altura de revoque de 5m</t>
        </r>
      </text>
    </comment>
  </commentList>
</comments>
</file>

<file path=xl/sharedStrings.xml><?xml version="1.0" encoding="utf-8"?>
<sst xmlns="http://schemas.openxmlformats.org/spreadsheetml/2006/main" count="814" uniqueCount="442">
  <si>
    <t>Ticholo 12</t>
  </si>
  <si>
    <t>Planta baja</t>
  </si>
  <si>
    <t>Ticholo 8</t>
  </si>
  <si>
    <t>Area de ticholo de 12</t>
  </si>
  <si>
    <t>Area de ticholo de 8</t>
  </si>
  <si>
    <t>Rejillón</t>
  </si>
  <si>
    <t>Retak</t>
  </si>
  <si>
    <t>Area de retak</t>
  </si>
  <si>
    <t>Cantidad de niveles</t>
  </si>
  <si>
    <t>Altura muro</t>
  </si>
  <si>
    <t>Aplacado de yeso</t>
  </si>
  <si>
    <t>Area de aplacado de yeso</t>
  </si>
  <si>
    <t>Cielorraso de yeso / nivel</t>
  </si>
  <si>
    <t>Area cielorraso de yeso en niveles</t>
  </si>
  <si>
    <t>Buña z</t>
  </si>
  <si>
    <t>Ml de buña z en niveles</t>
  </si>
  <si>
    <t>Revestimiento piso vinilico</t>
  </si>
  <si>
    <t>Area Revest. piso vinilico</t>
  </si>
  <si>
    <t>Altura paramento</t>
  </si>
  <si>
    <t>Revestimiento piedra partida</t>
  </si>
  <si>
    <t>Revestimiento hormigón  pulido</t>
  </si>
  <si>
    <t>Volumen. Piedra partida</t>
  </si>
  <si>
    <t>Revestimiento pared cocinas</t>
  </si>
  <si>
    <t>TOTAL</t>
  </si>
  <si>
    <t>TOTALES</t>
  </si>
  <si>
    <t>Revoques con hidrófugo</t>
  </si>
  <si>
    <t>Balai planchado exterior</t>
  </si>
  <si>
    <t>Poliestireno de 4cm</t>
  </si>
  <si>
    <t>Polietireno de 120 mic</t>
  </si>
  <si>
    <t>Doble membrana</t>
  </si>
  <si>
    <t>Lana de roca de 7cm</t>
  </si>
  <si>
    <t>Hormigón llaneado</t>
  </si>
  <si>
    <t>Contrapisos en baños y balcones</t>
  </si>
  <si>
    <t>Contrapiso bajo membrana</t>
  </si>
  <si>
    <t>Baldozones de arena y portland en azotea</t>
  </si>
  <si>
    <t>Revestimeintos paredes cocinas</t>
  </si>
  <si>
    <t>Pilotes</t>
  </si>
  <si>
    <t>Vigas de cimentación</t>
  </si>
  <si>
    <t>Cabezales</t>
  </si>
  <si>
    <t>Pilares</t>
  </si>
  <si>
    <t>Pilotes por pilares</t>
  </si>
  <si>
    <t>Largo</t>
  </si>
  <si>
    <t>Número</t>
  </si>
  <si>
    <t>Ancho</t>
  </si>
  <si>
    <t>Alto</t>
  </si>
  <si>
    <t>Contrapiso de PB</t>
  </si>
  <si>
    <t>Volumen de HA</t>
  </si>
  <si>
    <t>Pilares PB</t>
  </si>
  <si>
    <t>Volumen total de elementos</t>
  </si>
  <si>
    <t>Rectangulares</t>
  </si>
  <si>
    <t>Cantidad de elementos</t>
  </si>
  <si>
    <t>Ascensor</t>
  </si>
  <si>
    <t>Pantalla</t>
  </si>
  <si>
    <t>Area</t>
  </si>
  <si>
    <t>Escalera PB a P8</t>
  </si>
  <si>
    <t>Medianeras</t>
  </si>
  <si>
    <t xml:space="preserve">Vigas invertidas de losa </t>
  </si>
  <si>
    <t>PROYECTO:</t>
  </si>
  <si>
    <t>METRAJE HORMIGÓN</t>
  </si>
  <si>
    <t>Fachada</t>
  </si>
  <si>
    <t>Muros interiores</t>
  </si>
  <si>
    <t>Antepechos</t>
  </si>
  <si>
    <t>Isowall</t>
  </si>
  <si>
    <t>Area de  de rejillón</t>
  </si>
  <si>
    <t>Muros, tabiques y cielorrasos</t>
  </si>
  <si>
    <t>METRAJES</t>
  </si>
  <si>
    <t>Fachada / muro int</t>
  </si>
  <si>
    <t>Revoque exterior</t>
  </si>
  <si>
    <t>Cantoneras ext</t>
  </si>
  <si>
    <t>Ml Cantonera ext.</t>
  </si>
  <si>
    <t>Cantonera int</t>
  </si>
  <si>
    <t>Ml Cantonera int.</t>
  </si>
  <si>
    <t>Revoque viga ext ext</t>
  </si>
  <si>
    <t>Revoque viga ext int</t>
  </si>
  <si>
    <t>Revoque tradicional</t>
  </si>
  <si>
    <t>m2 revoque tradicional</t>
  </si>
  <si>
    <t>m2 Revoque ext.</t>
  </si>
  <si>
    <t xml:space="preserve">Revoques </t>
  </si>
  <si>
    <t>Cantidad de Niveles</t>
  </si>
  <si>
    <t>Revestimientos</t>
  </si>
  <si>
    <t>Area baldosa nueve panes</t>
  </si>
  <si>
    <t>Revestimiento piso cer. ext. por nivel</t>
  </si>
  <si>
    <t>Revestimiento piso cer. ext. Total</t>
  </si>
  <si>
    <t>Area Revest. piso cer. Int. por nivel</t>
  </si>
  <si>
    <t>Area Revest. piso cer. Int. Total</t>
  </si>
  <si>
    <t>Revestimiento carpeta de a y p por nivel</t>
  </si>
  <si>
    <t>Revestimiento carpeta de a y p por total</t>
  </si>
  <si>
    <t>Revestimiento pared baños Total</t>
  </si>
  <si>
    <t>Zocalos de PVC por nivel</t>
  </si>
  <si>
    <t>Zocalos de PVC Total</t>
  </si>
  <si>
    <t>Prolijado cielorrasos hormigón por nivel</t>
  </si>
  <si>
    <t>Prolijado cielorrasos hormigón Total</t>
  </si>
  <si>
    <t>Desperdicio y repsición</t>
  </si>
  <si>
    <t>TOTAL con desperdicio y reposición</t>
  </si>
  <si>
    <t>Aislaciones</t>
  </si>
  <si>
    <t>AZ y techo</t>
  </si>
  <si>
    <t>Carpetas</t>
  </si>
  <si>
    <t>Pintura</t>
  </si>
  <si>
    <t>Cielorraso exterior hormigón</t>
  </si>
  <si>
    <t>Cielorraso de yeso general</t>
  </si>
  <si>
    <t>Cielorraso enduido sobre hormigón</t>
  </si>
  <si>
    <t>Paredes interiores</t>
  </si>
  <si>
    <t>Paredes exteriores</t>
  </si>
  <si>
    <t>RUBRO</t>
  </si>
  <si>
    <t>UNID</t>
  </si>
  <si>
    <t>CANT</t>
  </si>
  <si>
    <t>ST USD</t>
  </si>
  <si>
    <t>SUB TOTAL RUBRO $</t>
  </si>
  <si>
    <t>OBRAS EDILICIAS</t>
  </si>
  <si>
    <t>1.1</t>
  </si>
  <si>
    <t>1.2</t>
  </si>
  <si>
    <t>1.3</t>
  </si>
  <si>
    <t>1.4</t>
  </si>
  <si>
    <t>2.1.1</t>
  </si>
  <si>
    <t>2.1.3</t>
  </si>
  <si>
    <t>3.1</t>
  </si>
  <si>
    <t>3.2</t>
  </si>
  <si>
    <t>3.3</t>
  </si>
  <si>
    <t>m2</t>
  </si>
  <si>
    <t>VARIOS</t>
  </si>
  <si>
    <t>TOTAL COSTO NETO de OBRA</t>
  </si>
  <si>
    <t>MONTO DE LEYES SOCIALES</t>
  </si>
  <si>
    <t>TOTAL OBRA LLSS INCLUIDAS $</t>
  </si>
  <si>
    <t>Plazo Estimado de Ejecución de la Obra:</t>
  </si>
  <si>
    <t>días laborables</t>
  </si>
  <si>
    <t>PU UYU</t>
  </si>
  <si>
    <t>ST  UYU</t>
  </si>
  <si>
    <t>Cantidad de pilotes</t>
  </si>
  <si>
    <t>Cantonera</t>
  </si>
  <si>
    <t xml:space="preserve">Ml de cantonera </t>
  </si>
  <si>
    <t>Contrapiso semi seco</t>
  </si>
  <si>
    <t>Accesorios de baño</t>
  </si>
  <si>
    <t>Pilares P1 a P2</t>
  </si>
  <si>
    <t>Pilares P3 a P5</t>
  </si>
  <si>
    <t>Pilares P6</t>
  </si>
  <si>
    <t>Losa sobre PB, N1, N2</t>
  </si>
  <si>
    <t>Losa sobre N3  a N5</t>
  </si>
  <si>
    <t>Losa sobre N6</t>
  </si>
  <si>
    <t>Fachada N1, N2, N3</t>
  </si>
  <si>
    <t>Medianeras  N1, N2, N3</t>
  </si>
  <si>
    <t>Corazon de manzana  N1, N2, N3</t>
  </si>
  <si>
    <t>Fachada N4, N5, N6</t>
  </si>
  <si>
    <t>Medianeras  N4, N5, N6</t>
  </si>
  <si>
    <t>Corazon de manzana  N4, N5, N6</t>
  </si>
  <si>
    <t>Nivel 6 fachada y medianeras</t>
  </si>
  <si>
    <t>Contra frente isopanel</t>
  </si>
  <si>
    <t>CARLOA ANAYA 2627</t>
  </si>
  <si>
    <t>CARLOS ANAYA 2627</t>
  </si>
  <si>
    <t>Nivel 1, 2</t>
  </si>
  <si>
    <t>Nivel 3 4 y 5</t>
  </si>
  <si>
    <t>Nivel 6</t>
  </si>
  <si>
    <t>Altura muro sobre viga</t>
  </si>
  <si>
    <t>Ladrillo visto</t>
  </si>
  <si>
    <t>m2 Ladrillo visto</t>
  </si>
  <si>
    <t>Nivel 3</t>
  </si>
  <si>
    <t>Nivel 4 y 5</t>
  </si>
  <si>
    <t>Altura/perímetro paramento</t>
  </si>
  <si>
    <t>Perímetro de revestimiento pared baños por nivel</t>
  </si>
  <si>
    <t>Azotea</t>
  </si>
  <si>
    <t>Nivel 1 y 2</t>
  </si>
  <si>
    <t>Impermeabilización cementicia en baños y balcones por nivel</t>
  </si>
  <si>
    <t>Contrapiso sobre membrana para recibir revestimeinto (inc en baños y balcones)</t>
  </si>
  <si>
    <t>Nivel 1 a 6 y AZ</t>
  </si>
  <si>
    <t>Revoques int. / placa colada</t>
  </si>
  <si>
    <t>Area revoque int. / placa colada</t>
  </si>
  <si>
    <t>C01-15</t>
  </si>
  <si>
    <t>Tipo</t>
  </si>
  <si>
    <t xml:space="preserve">Ubicación </t>
  </si>
  <si>
    <t>Medidas</t>
  </si>
  <si>
    <t>Cantidad</t>
  </si>
  <si>
    <t>Total</t>
  </si>
  <si>
    <t>N1</t>
  </si>
  <si>
    <t>0,9*2,05*0,15</t>
  </si>
  <si>
    <t>C02-15</t>
  </si>
  <si>
    <t>0,8*2,05*0,15</t>
  </si>
  <si>
    <t>C02-16</t>
  </si>
  <si>
    <t>0,8*2,05*0,16</t>
  </si>
  <si>
    <t>N2</t>
  </si>
  <si>
    <t>N3</t>
  </si>
  <si>
    <t>RF-60</t>
  </si>
  <si>
    <t>0,9*2,05</t>
  </si>
  <si>
    <t>N4</t>
  </si>
  <si>
    <t>N5</t>
  </si>
  <si>
    <t>RF-90</t>
  </si>
  <si>
    <t>PB</t>
  </si>
  <si>
    <t>N6</t>
  </si>
  <si>
    <t>C02-15/16</t>
  </si>
  <si>
    <t>Conteo puertas</t>
  </si>
  <si>
    <t>Ubicación</t>
  </si>
  <si>
    <t>P01</t>
  </si>
  <si>
    <t>Conteo de placares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</si>
  <si>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</si>
  <si>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</si>
  <si>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</si>
  <si>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</si>
  <si>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</si>
  <si>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</si>
  <si>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</si>
  <si>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</si>
  <si>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</si>
  <si>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</si>
  <si>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</si>
  <si>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Característica</t>
  </si>
  <si>
    <t>1,95*0,6*0,6</t>
  </si>
  <si>
    <t>Vestidor</t>
  </si>
  <si>
    <t>1,4*0,6</t>
  </si>
  <si>
    <t>Placard 2do dorm.</t>
  </si>
  <si>
    <t>1,72*0,6</t>
  </si>
  <si>
    <t xml:space="preserve">Placard </t>
  </si>
  <si>
    <t>2,1*0,6</t>
  </si>
  <si>
    <t>1,65*0,6</t>
  </si>
  <si>
    <t>2,16*0,6</t>
  </si>
  <si>
    <t>Placard divisorio</t>
  </si>
  <si>
    <t>1,82*1,12*0,6</t>
  </si>
  <si>
    <t>1,8*0,6</t>
  </si>
  <si>
    <t>0,76*2,3</t>
  </si>
  <si>
    <t>Montante</t>
  </si>
  <si>
    <t>0,76x2,4</t>
  </si>
  <si>
    <t>Lavarropa</t>
  </si>
  <si>
    <t>2,58*1,19*0,6</t>
  </si>
  <si>
    <t>306-506</t>
  </si>
  <si>
    <t>103-503</t>
  </si>
  <si>
    <t>106-206</t>
  </si>
  <si>
    <t>105-205</t>
  </si>
  <si>
    <t>104-504</t>
  </si>
  <si>
    <t>102-502</t>
  </si>
  <si>
    <t>101-501</t>
  </si>
  <si>
    <t>A01</t>
  </si>
  <si>
    <t>Conteo de ventanas de aluminio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</si>
  <si>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</si>
  <si>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</si>
  <si>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</si>
  <si>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</si>
  <si>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</si>
  <si>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</si>
  <si>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</si>
  <si>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</si>
  <si>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</si>
  <si>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</si>
  <si>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0,8*2,0</t>
  </si>
  <si>
    <t>Puerta</t>
  </si>
  <si>
    <t>Palier PB</t>
  </si>
  <si>
    <t>Palier PB a N6</t>
  </si>
  <si>
    <t>1,73*2,25</t>
  </si>
  <si>
    <t>Dorm. Ppal.</t>
  </si>
  <si>
    <t>1,57x1,63</t>
  </si>
  <si>
    <t>2,10*2,07+0,98*2,25</t>
  </si>
  <si>
    <t>1,8*2,25</t>
  </si>
  <si>
    <t>Liv. Com.</t>
  </si>
  <si>
    <t>1,85*2,25</t>
  </si>
  <si>
    <t>Dorm.</t>
  </si>
  <si>
    <t>102-502 103-503</t>
  </si>
  <si>
    <t>1,2x1,63</t>
  </si>
  <si>
    <t>1,95*1,63</t>
  </si>
  <si>
    <t>0,85*1,63</t>
  </si>
  <si>
    <t>Cocina</t>
  </si>
  <si>
    <t>106-506</t>
  </si>
  <si>
    <t>104-504 106-506</t>
  </si>
  <si>
    <t>1,6x1,63</t>
  </si>
  <si>
    <t>Seg. Dorm.</t>
  </si>
  <si>
    <t>1,4*2,25</t>
  </si>
  <si>
    <t>102-502 103-503 104-504 105-505 306-506</t>
  </si>
  <si>
    <t>2,93*2,07+20,6*2,07</t>
  </si>
  <si>
    <t>Barbacoa</t>
  </si>
  <si>
    <t>Espacio</t>
  </si>
  <si>
    <t>A12</t>
  </si>
  <si>
    <t>0,5*1,0</t>
  </si>
  <si>
    <t>Baño barbacoa</t>
  </si>
  <si>
    <t>A13</t>
  </si>
  <si>
    <t>Acceso edificio</t>
  </si>
  <si>
    <t>2,65*2,0</t>
  </si>
  <si>
    <t>B01</t>
  </si>
  <si>
    <t>B02</t>
  </si>
  <si>
    <t>B03</t>
  </si>
  <si>
    <t>B04</t>
  </si>
  <si>
    <t>B05</t>
  </si>
  <si>
    <t>B06</t>
  </si>
  <si>
    <t>Frente</t>
  </si>
  <si>
    <t>4,33*2,1 + 1,26</t>
  </si>
  <si>
    <t>Corazón de manz.</t>
  </si>
  <si>
    <t>Barras horizontales</t>
  </si>
  <si>
    <t>Glazing</t>
  </si>
  <si>
    <t>Pasamano</t>
  </si>
  <si>
    <t>106-206 105-205</t>
  </si>
  <si>
    <t>4,5*8,03</t>
  </si>
  <si>
    <t>305-306</t>
  </si>
  <si>
    <t>1,4*8,1</t>
  </si>
  <si>
    <t>405-505 406-506</t>
  </si>
  <si>
    <t>1*6*0,35*2,8*0,95</t>
  </si>
  <si>
    <t>3,75*2,7*0,35</t>
  </si>
  <si>
    <t>6,94*4,7</t>
  </si>
  <si>
    <t>CA01</t>
  </si>
  <si>
    <t>CA02</t>
  </si>
  <si>
    <t>CA03</t>
  </si>
  <si>
    <t>1,01*0,9*2,4</t>
  </si>
  <si>
    <t>0,93*1,63</t>
  </si>
  <si>
    <t>1,79*1,14*2,4</t>
  </si>
  <si>
    <t>1 Puerta</t>
  </si>
  <si>
    <t>Paño fijo</t>
  </si>
  <si>
    <t>A14</t>
  </si>
  <si>
    <t>1,80*2,0</t>
  </si>
  <si>
    <t>Celosia bombas</t>
  </si>
  <si>
    <t>Conteo de ventanas de barandas y celosías</t>
  </si>
  <si>
    <t>G01</t>
  </si>
  <si>
    <t>G02</t>
  </si>
  <si>
    <t>G03</t>
  </si>
  <si>
    <t>G04</t>
  </si>
  <si>
    <t>G05</t>
  </si>
  <si>
    <t>1,81*0,6</t>
  </si>
  <si>
    <t xml:space="preserve">Blanco massina </t>
  </si>
  <si>
    <t>101-501 102-502</t>
  </si>
  <si>
    <t>0,91*0,6</t>
  </si>
  <si>
    <t>1,20*0,6</t>
  </si>
  <si>
    <t xml:space="preserve">101-501 102-502 </t>
  </si>
  <si>
    <t>1,67*0,6</t>
  </si>
  <si>
    <t>1,61*0,63</t>
  </si>
  <si>
    <t>G06</t>
  </si>
  <si>
    <t>105-505</t>
  </si>
  <si>
    <t>1,54*0,65</t>
  </si>
  <si>
    <t>MZ-01</t>
  </si>
  <si>
    <t>MZ-02</t>
  </si>
  <si>
    <t>MZ-03</t>
  </si>
  <si>
    <t>MZ-04</t>
  </si>
  <si>
    <t>Baño</t>
  </si>
  <si>
    <t>Negro San Gabriel</t>
  </si>
  <si>
    <t>101-501 10-505 106-506</t>
  </si>
  <si>
    <t>Conteo de ventanas granitos</t>
  </si>
  <si>
    <t>K01</t>
  </si>
  <si>
    <t>K02</t>
  </si>
  <si>
    <t>K03</t>
  </si>
  <si>
    <t>K04</t>
  </si>
  <si>
    <t>K05</t>
  </si>
  <si>
    <t>K06</t>
  </si>
  <si>
    <t xml:space="preserve">Medidas </t>
  </si>
  <si>
    <t>Ver planillas</t>
  </si>
  <si>
    <t>Melamina gris.</t>
  </si>
  <si>
    <t>Conteo de muebles de cocina</t>
  </si>
  <si>
    <t>Inodoros</t>
  </si>
  <si>
    <t>Bidet</t>
  </si>
  <si>
    <t>Piletas de baño</t>
  </si>
  <si>
    <t>Piletas de cocina</t>
  </si>
  <si>
    <t>Grifería de pielta de baño</t>
  </si>
  <si>
    <t>Grifería de bidet</t>
  </si>
  <si>
    <t>Grifería de pileta de cocina</t>
  </si>
  <si>
    <t>Muebles de baño con pileta</t>
  </si>
  <si>
    <t>A definir c/mochila</t>
  </si>
  <si>
    <t>A definir</t>
  </si>
  <si>
    <t>De sobre poner</t>
  </si>
  <si>
    <t>Grifería de ducha</t>
  </si>
  <si>
    <t>Monocomando</t>
  </si>
  <si>
    <t>Monocomando Según pileta</t>
  </si>
  <si>
    <t>Monocomando sin transf.</t>
  </si>
  <si>
    <t>2 perchas, toallero y porta rollo</t>
  </si>
  <si>
    <t>Simple de acero inox</t>
  </si>
  <si>
    <t>Inodoro para discapacitados</t>
  </si>
  <si>
    <t>Pileta para discapacitados</t>
  </si>
  <si>
    <t>Barras para discapacitados</t>
  </si>
  <si>
    <t>Todos</t>
  </si>
  <si>
    <t>Juego de inodoro</t>
  </si>
  <si>
    <t>102-502 106-506</t>
  </si>
  <si>
    <t>60 x 45cm prof</t>
  </si>
  <si>
    <t>Unidades restantes</t>
  </si>
  <si>
    <t>De acero inxo o blancas</t>
  </si>
  <si>
    <t xml:space="preserve">Piletas grande de cocina </t>
  </si>
  <si>
    <t>Para discapacitados</t>
  </si>
  <si>
    <t>Conteo de apratos sanitarios, griferías y accesorios</t>
  </si>
  <si>
    <t>H01</t>
  </si>
  <si>
    <t>Conteo de herrería</t>
  </si>
  <si>
    <t>Escalera</t>
  </si>
  <si>
    <t>Todos los niveles</t>
  </si>
  <si>
    <t>Pintado al horno</t>
  </si>
  <si>
    <t>H02</t>
  </si>
  <si>
    <t>Ductos</t>
  </si>
  <si>
    <t xml:space="preserve">Hierro de obra </t>
  </si>
  <si>
    <t>H03</t>
  </si>
  <si>
    <t>Parrilla y quemador</t>
  </si>
  <si>
    <t>H04</t>
  </si>
  <si>
    <t>Parrilleros</t>
  </si>
  <si>
    <t>Parrillero</t>
  </si>
  <si>
    <t>CA04</t>
  </si>
  <si>
    <t>Pérgola</t>
  </si>
  <si>
    <t>H05</t>
  </si>
  <si>
    <t>Terraza</t>
  </si>
  <si>
    <t>Tender</t>
  </si>
  <si>
    <t>Pasamano c/malla</t>
  </si>
  <si>
    <t>H06</t>
  </si>
  <si>
    <t>4,85 c/ puerta</t>
  </si>
  <si>
    <t>2,8 + 3,4 c/ puerta</t>
  </si>
  <si>
    <t>Tanques</t>
  </si>
  <si>
    <t>H07</t>
  </si>
  <si>
    <t>H08</t>
  </si>
  <si>
    <t>2,36*2,3</t>
  </si>
  <si>
    <t>Acceso edifico</t>
  </si>
  <si>
    <t>Puerta orsogril</t>
  </si>
  <si>
    <t>H09</t>
  </si>
  <si>
    <t>2,38*1,95</t>
  </si>
  <si>
    <t>Paño fijo orsogril</t>
  </si>
  <si>
    <t>H10</t>
  </si>
  <si>
    <t>2,45*2,35</t>
  </si>
  <si>
    <t>Porton vassculante c/ orsogril</t>
  </si>
  <si>
    <t>H11</t>
  </si>
  <si>
    <t>H12</t>
  </si>
  <si>
    <t>2,07*2,35</t>
  </si>
  <si>
    <t>Garaje</t>
  </si>
  <si>
    <t>Bicicletero</t>
  </si>
  <si>
    <t>Ganchos de techo</t>
  </si>
  <si>
    <t>A15</t>
  </si>
  <si>
    <t>0,6*1,2</t>
  </si>
  <si>
    <t>Ductos cocinas</t>
  </si>
  <si>
    <t>2 Puertas</t>
  </si>
  <si>
    <t>B07</t>
  </si>
  <si>
    <t>B08</t>
  </si>
  <si>
    <t>B09</t>
  </si>
  <si>
    <t>B10</t>
  </si>
  <si>
    <t>B11</t>
  </si>
  <si>
    <t>B12</t>
  </si>
  <si>
    <t>H14</t>
  </si>
  <si>
    <t>M01</t>
  </si>
  <si>
    <t>0,35*0,95</t>
  </si>
  <si>
    <t>M02</t>
  </si>
  <si>
    <t>0,40*1,50</t>
  </si>
  <si>
    <t>Implantación de obra.</t>
  </si>
  <si>
    <t xml:space="preserve">Portección y traslado dentro de recito de pertenencias del arrendatario. </t>
  </si>
  <si>
    <t>Desimplantación de obra, limpieza general y restitución de las condiciones originales del local.</t>
  </si>
  <si>
    <t>IMPLANTACION, DESIMPLANTACIÓN Y CONDICIONES GENERALES</t>
  </si>
  <si>
    <t>OBRA:</t>
  </si>
  <si>
    <t>TAREAS DE OBRA A COTIZAR DE FORMA UNITARIA</t>
  </si>
  <si>
    <t>Cateos en losa</t>
  </si>
  <si>
    <t>Cepillado de hierro expuestos</t>
  </si>
  <si>
    <t>Aplicación de Armatec de Sika</t>
  </si>
  <si>
    <t>Apliación de Sika Top Modul o similar a aprobar por D.O.</t>
  </si>
  <si>
    <t>Aplicación azotada.</t>
  </si>
  <si>
    <t>Recomposición de revoques en sector intervenido</t>
  </si>
  <si>
    <t>Desarme y armado de cielorraso</t>
  </si>
  <si>
    <t>Verificación del correcto funcionamiento de las instalaciones afectadas. Limpieza cotidena y final</t>
  </si>
  <si>
    <t>2.1.2</t>
  </si>
  <si>
    <t>Espacio para oferentes</t>
  </si>
  <si>
    <t>gl.</t>
  </si>
  <si>
    <t>ml</t>
  </si>
  <si>
    <t>Optica Lupinacci. 18 de Julio 1758</t>
  </si>
  <si>
    <t>IMPUESTOS</t>
  </si>
  <si>
    <t>RUBRADO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</si>
</sst>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3" formatCode="_-* #,##0.00_-;\-* #,##0.00_-;_-* &quot;-&quot;??_-;_-@_-"/>
    <numFmt numFmtId="164" formatCode="0.0"/>
    <numFmt numFmtId="165" formatCode="#,##0.00&quot;   &quot;;\-#,##0.00&quot;   &quot;"/>
    <numFmt numFmtId="166" formatCode="_-[$$-380A]\ * #,##0_-;\-[$$-380A]\ * #,##0_-;_-[$$-380A]\ * &quot;-&quot;??_-;_-@_-"/>
    <numFmt numFmtId="167" formatCode="0.0%"/>
    <numFmt numFmtId="168" formatCode="#,##0.00&quot; Pts &quot;;\-#,##0.00&quot; Pts &quot;;&quot; -&quot;#&quot; Pts &quot;;@\ 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EAE0D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AvantGarde Bk BT"/>
    </font>
    <font>
      <sz val="12"/>
      <name val="Times New Roman"/>
      <family val="1"/>
    </font>
    <font>
      <sz val="12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EAE0D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1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16"/>
      <color indexed="8"/>
      <name val="Arial"/>
      <family val="2"/>
    </font>
    <font>
      <sz val="14"/>
      <color indexed="9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55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2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8" fillId="0" borderId="0"/>
    <xf numFmtId="168" fontId="7" fillId="0" borderId="0" applyFill="0" applyBorder="0" applyAlignment="0" applyProtection="0"/>
  </cellStyleXfs>
  <cellXfs count="504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/>
    <xf numFmtId="0" fontId="0" fillId="0" borderId="6" xfId="0" applyBorder="1" applyAlignment="1">
      <alignment vertical="center" wrapText="1"/>
    </xf>
    <xf numFmtId="0" fontId="1" fillId="0" borderId="0" xfId="0" applyFont="1"/>
    <xf numFmtId="0" fontId="0" fillId="0" borderId="13" xfId="0" applyBorder="1"/>
    <xf numFmtId="0" fontId="0" fillId="0" borderId="19" xfId="0" applyBorder="1"/>
    <xf numFmtId="0" fontId="0" fillId="0" borderId="22" xfId="0" applyBorder="1"/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37" xfId="0" applyFill="1" applyBorder="1"/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3" xfId="0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vertical="center"/>
    </xf>
    <xf numFmtId="14" fontId="2" fillId="3" borderId="36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2" fontId="0" fillId="0" borderId="44" xfId="0" applyNumberFormat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2" fontId="1" fillId="2" borderId="40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1" fontId="0" fillId="0" borderId="0" xfId="0" applyNumberForma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35" xfId="0" applyBorder="1"/>
    <xf numFmtId="0" fontId="0" fillId="0" borderId="46" xfId="0" applyBorder="1"/>
    <xf numFmtId="0" fontId="0" fillId="0" borderId="44" xfId="0" applyBorder="1" applyAlignment="1">
      <alignment horizontal="center" vertical="center" wrapText="1"/>
    </xf>
    <xf numFmtId="1" fontId="0" fillId="0" borderId="43" xfId="0" applyNumberFormat="1" applyBorder="1" applyAlignment="1">
      <alignment horizontal="center" vertical="center" wrapText="1"/>
    </xf>
    <xf numFmtId="1" fontId="0" fillId="0" borderId="45" xfId="0" applyNumberForma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1" xfId="0" applyBorder="1"/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" fontId="0" fillId="0" borderId="40" xfId="0" applyNumberForma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0" fillId="0" borderId="39" xfId="0" applyNumberFormat="1" applyBorder="1" applyAlignment="1">
      <alignment horizontal="center" vertical="center" wrapText="1"/>
    </xf>
    <xf numFmtId="0" fontId="0" fillId="0" borderId="33" xfId="0" applyBorder="1"/>
    <xf numFmtId="0" fontId="0" fillId="0" borderId="48" xfId="0" applyBorder="1" applyAlignment="1">
      <alignment horizontal="center" vertical="center" wrapText="1"/>
    </xf>
    <xf numFmtId="1" fontId="0" fillId="0" borderId="49" xfId="0" applyNumberForma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1" fontId="0" fillId="0" borderId="21" xfId="0" applyNumberFormat="1" applyBorder="1" applyAlignment="1">
      <alignment horizontal="center" vertical="center" wrapText="1"/>
    </xf>
    <xf numFmtId="1" fontId="0" fillId="0" borderId="28" xfId="0" applyNumberFormat="1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1" fontId="0" fillId="0" borderId="19" xfId="0" applyNumberFormat="1" applyBorder="1" applyAlignment="1">
      <alignment horizontal="center" vertical="center" wrapText="1"/>
    </xf>
    <xf numFmtId="1" fontId="0" fillId="0" borderId="53" xfId="0" applyNumberFormat="1" applyBorder="1" applyAlignment="1">
      <alignment horizontal="center" vertical="center" wrapText="1"/>
    </xf>
    <xf numFmtId="164" fontId="0" fillId="0" borderId="54" xfId="0" applyNumberFormat="1" applyBorder="1" applyAlignment="1">
      <alignment horizontal="center" vertical="center" wrapText="1"/>
    </xf>
    <xf numFmtId="1" fontId="0" fillId="0" borderId="52" xfId="0" applyNumberForma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64" fontId="0" fillId="0" borderId="5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56" xfId="0" applyNumberFormat="1" applyBorder="1" applyAlignment="1">
      <alignment horizontal="center" vertical="center" wrapText="1"/>
    </xf>
    <xf numFmtId="1" fontId="0" fillId="0" borderId="55" xfId="0" applyNumberFormat="1" applyBorder="1" applyAlignment="1">
      <alignment horizontal="center" vertical="center" wrapText="1"/>
    </xf>
    <xf numFmtId="1" fontId="0" fillId="0" borderId="35" xfId="0" applyNumberFormat="1" applyBorder="1" applyAlignment="1">
      <alignment horizontal="center" vertical="center" wrapText="1"/>
    </xf>
    <xf numFmtId="164" fontId="0" fillId="0" borderId="55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51" xfId="0" applyNumberFormat="1" applyBorder="1" applyAlignment="1">
      <alignment horizontal="center" vertical="center" wrapText="1"/>
    </xf>
    <xf numFmtId="1" fontId="0" fillId="0" borderId="56" xfId="0" applyNumberFormat="1" applyBorder="1" applyAlignment="1">
      <alignment horizontal="center" vertical="center" wrapText="1"/>
    </xf>
    <xf numFmtId="164" fontId="0" fillId="0" borderId="45" xfId="0" applyNumberFormat="1" applyBorder="1" applyAlignment="1">
      <alignment horizontal="center" vertical="center" wrapText="1"/>
    </xf>
    <xf numFmtId="164" fontId="0" fillId="0" borderId="4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52" xfId="0" applyBorder="1"/>
    <xf numFmtId="0" fontId="0" fillId="0" borderId="55" xfId="0" applyBorder="1"/>
    <xf numFmtId="0" fontId="0" fillId="0" borderId="25" xfId="0" applyBorder="1"/>
    <xf numFmtId="0" fontId="0" fillId="0" borderId="53" xfId="0" applyBorder="1" applyAlignment="1">
      <alignment horizontal="center" vertical="center" wrapText="1"/>
    </xf>
    <xf numFmtId="164" fontId="0" fillId="0" borderId="50" xfId="0" applyNumberFormat="1" applyBorder="1" applyAlignment="1">
      <alignment horizontal="center" vertical="center" wrapText="1"/>
    </xf>
    <xf numFmtId="164" fontId="0" fillId="0" borderId="51" xfId="0" applyNumberForma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164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5" xfId="0" applyFont="1" applyBorder="1"/>
    <xf numFmtId="0" fontId="3" fillId="0" borderId="4" xfId="0" applyFont="1" applyBorder="1"/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164" fontId="0" fillId="0" borderId="66" xfId="0" applyNumberFormat="1" applyBorder="1" applyAlignment="1">
      <alignment horizontal="center" vertical="center" wrapText="1"/>
    </xf>
    <xf numFmtId="0" fontId="0" fillId="0" borderId="34" xfId="0" applyBorder="1"/>
    <xf numFmtId="0" fontId="0" fillId="0" borderId="69" xfId="0" applyBorder="1"/>
    <xf numFmtId="1" fontId="0" fillId="0" borderId="63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1" fontId="1" fillId="4" borderId="1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/>
    <xf numFmtId="0" fontId="1" fillId="4" borderId="12" xfId="0" applyFont="1" applyFill="1" applyBorder="1"/>
    <xf numFmtId="0" fontId="1" fillId="4" borderId="5" xfId="0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1" fillId="4" borderId="30" xfId="0" applyFont="1" applyFill="1" applyBorder="1"/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22" xfId="0" applyFont="1" applyFill="1" applyBorder="1"/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4" borderId="2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64" fontId="1" fillId="4" borderId="27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1" fontId="1" fillId="4" borderId="27" xfId="0" applyNumberFormat="1" applyFont="1" applyFill="1" applyBorder="1" applyAlignment="1">
      <alignment horizontal="center" vertical="center" wrapText="1"/>
    </xf>
    <xf numFmtId="0" fontId="0" fillId="0" borderId="53" xfId="0" applyBorder="1"/>
    <xf numFmtId="0" fontId="0" fillId="0" borderId="11" xfId="0" applyBorder="1"/>
    <xf numFmtId="0" fontId="0" fillId="0" borderId="68" xfId="0" applyBorder="1"/>
    <xf numFmtId="0" fontId="1" fillId="4" borderId="37" xfId="0" applyFont="1" applyFill="1" applyBorder="1"/>
    <xf numFmtId="0" fontId="0" fillId="4" borderId="59" xfId="0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1" fontId="1" fillId="4" borderId="60" xfId="0" applyNumberFormat="1" applyFont="1" applyFill="1" applyBorder="1" applyAlignment="1">
      <alignment horizontal="center" vertical="center" wrapText="1"/>
    </xf>
    <xf numFmtId="1" fontId="1" fillId="4" borderId="59" xfId="0" applyNumberFormat="1" applyFont="1" applyFill="1" applyBorder="1" applyAlignment="1">
      <alignment horizontal="center" vertical="center" wrapText="1"/>
    </xf>
    <xf numFmtId="1" fontId="1" fillId="4" borderId="61" xfId="0" applyNumberFormat="1" applyFont="1" applyFill="1" applyBorder="1" applyAlignment="1">
      <alignment horizontal="center" vertical="center" wrapText="1"/>
    </xf>
    <xf numFmtId="1" fontId="1" fillId="4" borderId="58" xfId="0" applyNumberFormat="1" applyFont="1" applyFill="1" applyBorder="1" applyAlignment="1">
      <alignment horizontal="center" vertical="center" wrapText="1"/>
    </xf>
    <xf numFmtId="1" fontId="1" fillId="4" borderId="37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wrapText="1"/>
    </xf>
    <xf numFmtId="0" fontId="0" fillId="4" borderId="70" xfId="0" applyFill="1" applyBorder="1" applyAlignment="1">
      <alignment horizontal="center" vertical="center" wrapText="1"/>
    </xf>
    <xf numFmtId="0" fontId="0" fillId="4" borderId="68" xfId="0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71" xfId="0" applyNumberFormat="1" applyFont="1" applyFill="1" applyBorder="1" applyAlignment="1">
      <alignment horizontal="center" vertical="center" wrapText="1"/>
    </xf>
    <xf numFmtId="1" fontId="1" fillId="4" borderId="70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68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9" fontId="0" fillId="0" borderId="22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22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0" fontId="0" fillId="3" borderId="0" xfId="0" applyFill="1"/>
    <xf numFmtId="0" fontId="0" fillId="0" borderId="51" xfId="0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 wrapText="1"/>
    </xf>
    <xf numFmtId="0" fontId="0" fillId="10" borderId="44" xfId="0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1" fontId="0" fillId="2" borderId="47" xfId="0" applyNumberForma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0" fillId="2" borderId="43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" fontId="0" fillId="2" borderId="48" xfId="0" applyNumberFormat="1" applyFill="1" applyBorder="1" applyAlignment="1">
      <alignment horizontal="center" vertical="center" wrapText="1"/>
    </xf>
    <xf numFmtId="1" fontId="0" fillId="0" borderId="46" xfId="0" applyNumberFormat="1" applyBorder="1" applyAlignment="1">
      <alignment horizontal="center" vertical="center" wrapText="1"/>
    </xf>
    <xf numFmtId="1" fontId="0" fillId="0" borderId="93" xfId="0" applyNumberFormat="1" applyBorder="1" applyAlignment="1">
      <alignment horizontal="center" vertical="center" wrapText="1"/>
    </xf>
    <xf numFmtId="1" fontId="0" fillId="0" borderId="7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45" xfId="0" applyNumberForma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1" fontId="0" fillId="2" borderId="51" xfId="0" applyNumberFormat="1" applyFill="1" applyBorder="1" applyAlignment="1">
      <alignment horizontal="center" vertical="center" wrapText="1"/>
    </xf>
    <xf numFmtId="0" fontId="0" fillId="2" borderId="85" xfId="0" applyFill="1" applyBorder="1" applyAlignment="1">
      <alignment horizontal="center" vertical="center" wrapText="1"/>
    </xf>
    <xf numFmtId="1" fontId="0" fillId="0" borderId="85" xfId="0" applyNumberFormat="1" applyBorder="1" applyAlignment="1">
      <alignment horizontal="center" vertical="center" wrapText="1"/>
    </xf>
    <xf numFmtId="1" fontId="0" fillId="2" borderId="19" xfId="0" applyNumberFormat="1" applyFill="1" applyBorder="1" applyAlignment="1">
      <alignment horizontal="center" vertical="center" wrapText="1"/>
    </xf>
    <xf numFmtId="164" fontId="0" fillId="2" borderId="50" xfId="0" applyNumberFormat="1" applyFill="1" applyBorder="1" applyAlignment="1">
      <alignment horizontal="center" vertical="center" wrapText="1"/>
    </xf>
    <xf numFmtId="1" fontId="0" fillId="2" borderId="54" xfId="0" applyNumberFormat="1" applyFill="1" applyBorder="1" applyAlignment="1">
      <alignment horizontal="center" vertical="center" wrapText="1"/>
    </xf>
    <xf numFmtId="1" fontId="0" fillId="2" borderId="56" xfId="0" applyNumberFormat="1" applyFill="1" applyBorder="1" applyAlignment="1">
      <alignment horizontal="center" vertical="center" wrapText="1"/>
    </xf>
    <xf numFmtId="164" fontId="0" fillId="2" borderId="56" xfId="0" applyNumberFormat="1" applyFill="1" applyBorder="1" applyAlignment="1">
      <alignment horizontal="center" vertical="center" wrapText="1"/>
    </xf>
    <xf numFmtId="164" fontId="0" fillId="2" borderId="28" xfId="0" applyNumberFormat="1" applyFill="1" applyBorder="1" applyAlignment="1">
      <alignment horizontal="center" vertical="center" wrapText="1"/>
    </xf>
    <xf numFmtId="1" fontId="0" fillId="2" borderId="28" xfId="0" applyNumberFormat="1" applyFill="1" applyBorder="1" applyAlignment="1">
      <alignment horizontal="center" vertical="center" wrapText="1"/>
    </xf>
    <xf numFmtId="1" fontId="0" fillId="2" borderId="50" xfId="0" applyNumberFormat="1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1" fontId="0" fillId="2" borderId="46" xfId="0" applyNumberFormat="1" applyFill="1" applyBorder="1" applyAlignment="1">
      <alignment horizontal="center" vertical="center" wrapText="1"/>
    </xf>
    <xf numFmtId="1" fontId="0" fillId="2" borderId="35" xfId="0" applyNumberFormat="1" applyFill="1" applyBorder="1" applyAlignment="1">
      <alignment horizontal="center" vertical="center" wrapText="1"/>
    </xf>
    <xf numFmtId="1" fontId="0" fillId="2" borderId="85" xfId="0" applyNumberFormat="1" applyFill="1" applyBorder="1" applyAlignment="1">
      <alignment horizontal="center" vertical="center" wrapText="1"/>
    </xf>
    <xf numFmtId="1" fontId="0" fillId="2" borderId="93" xfId="0" applyNumberFormat="1" applyFill="1" applyBorder="1" applyAlignment="1">
      <alignment horizontal="center" vertical="center" wrapText="1"/>
    </xf>
    <xf numFmtId="1" fontId="0" fillId="2" borderId="36" xfId="0" applyNumberFormat="1" applyFill="1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7" xfId="0" applyBorder="1"/>
    <xf numFmtId="164" fontId="0" fillId="0" borderId="68" xfId="0" applyNumberFormat="1" applyBorder="1" applyAlignment="1">
      <alignment horizontal="center" vertical="center" wrapText="1"/>
    </xf>
    <xf numFmtId="1" fontId="0" fillId="0" borderId="66" xfId="0" applyNumberFormat="1" applyBorder="1" applyAlignment="1">
      <alignment horizontal="center" vertical="center" wrapText="1"/>
    </xf>
    <xf numFmtId="1" fontId="0" fillId="0" borderId="67" xfId="0" applyNumberFormat="1" applyBorder="1" applyAlignment="1">
      <alignment horizontal="center" vertical="center" wrapText="1"/>
    </xf>
    <xf numFmtId="1" fontId="0" fillId="0" borderId="41" xfId="0" applyNumberFormat="1" applyBorder="1" applyAlignment="1">
      <alignment horizontal="center" vertical="center" wrapText="1"/>
    </xf>
    <xf numFmtId="1" fontId="0" fillId="0" borderId="32" xfId="0" applyNumberFormat="1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1" fontId="0" fillId="0" borderId="109" xfId="0" applyNumberFormat="1" applyBorder="1" applyAlignment="1">
      <alignment horizontal="center" vertical="center" wrapText="1"/>
    </xf>
    <xf numFmtId="1" fontId="0" fillId="0" borderId="86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" fontId="0" fillId="0" borderId="70" xfId="0" applyNumberFormat="1" applyBorder="1" applyAlignment="1">
      <alignment horizontal="center" vertical="center" wrapText="1"/>
    </xf>
    <xf numFmtId="1" fontId="0" fillId="0" borderId="68" xfId="0" applyNumberFormat="1" applyBorder="1" applyAlignment="1">
      <alignment horizontal="center" vertical="center" wrapText="1"/>
    </xf>
    <xf numFmtId="1" fontId="0" fillId="0" borderId="112" xfId="0" applyNumberFormat="1" applyBorder="1" applyAlignment="1">
      <alignment horizontal="center" vertical="center" wrapText="1"/>
    </xf>
    <xf numFmtId="1" fontId="0" fillId="2" borderId="65" xfId="0" applyNumberFormat="1" applyFill="1" applyBorder="1" applyAlignment="1">
      <alignment horizontal="center" vertical="center" wrapText="1"/>
    </xf>
    <xf numFmtId="1" fontId="0" fillId="2" borderId="57" xfId="0" applyNumberFormat="1" applyFill="1" applyBorder="1" applyAlignment="1">
      <alignment horizontal="center" vertical="center" wrapText="1"/>
    </xf>
    <xf numFmtId="1" fontId="0" fillId="2" borderId="13" xfId="0" applyNumberFormat="1" applyFill="1" applyBorder="1" applyAlignment="1">
      <alignment horizontal="center" vertical="center" wrapText="1"/>
    </xf>
    <xf numFmtId="1" fontId="0" fillId="2" borderId="70" xfId="0" applyNumberFormat="1" applyFill="1" applyBorder="1" applyAlignment="1">
      <alignment horizontal="center" vertical="center" wrapText="1"/>
    </xf>
    <xf numFmtId="1" fontId="0" fillId="2" borderId="41" xfId="0" applyNumberForma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2" borderId="111" xfId="0" applyNumberFormat="1" applyFill="1" applyBorder="1" applyAlignment="1">
      <alignment horizontal="center" vertical="center" wrapText="1"/>
    </xf>
    <xf numFmtId="1" fontId="0" fillId="2" borderId="64" xfId="0" applyNumberFormat="1" applyFill="1" applyBorder="1" applyAlignment="1">
      <alignment horizontal="center" vertical="center" wrapText="1"/>
    </xf>
    <xf numFmtId="1" fontId="0" fillId="2" borderId="29" xfId="0" applyNumberFormat="1" applyFill="1" applyBorder="1" applyAlignment="1">
      <alignment horizontal="center" vertical="center" wrapText="1"/>
    </xf>
    <xf numFmtId="1" fontId="0" fillId="2" borderId="63" xfId="0" applyNumberFormat="1" applyFill="1" applyBorder="1" applyAlignment="1">
      <alignment horizontal="center" vertical="center" wrapText="1"/>
    </xf>
    <xf numFmtId="1" fontId="0" fillId="2" borderId="86" xfId="0" applyNumberFormat="1" applyFill="1" applyBorder="1" applyAlignment="1">
      <alignment horizontal="center" vertical="center" wrapText="1"/>
    </xf>
    <xf numFmtId="0" fontId="0" fillId="0" borderId="104" xfId="0" applyBorder="1"/>
    <xf numFmtId="0" fontId="0" fillId="0" borderId="115" xfId="0" applyBorder="1"/>
    <xf numFmtId="0" fontId="1" fillId="4" borderId="115" xfId="0" applyFont="1" applyFill="1" applyBorder="1"/>
    <xf numFmtId="0" fontId="0" fillId="0" borderId="11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1" fillId="4" borderId="116" xfId="0" applyNumberFormat="1" applyFont="1" applyFill="1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1" fontId="0" fillId="0" borderId="108" xfId="0" applyNumberFormat="1" applyBorder="1" applyAlignment="1">
      <alignment horizontal="center" vertical="center" wrapText="1"/>
    </xf>
    <xf numFmtId="0" fontId="1" fillId="4" borderId="114" xfId="0" applyFont="1" applyFill="1" applyBorder="1"/>
    <xf numFmtId="1" fontId="0" fillId="0" borderId="110" xfId="0" applyNumberFormat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0" fillId="2" borderId="113" xfId="0" applyFill="1" applyBorder="1" applyAlignment="1">
      <alignment horizontal="center" vertical="center" wrapText="1"/>
    </xf>
    <xf numFmtId="1" fontId="0" fillId="2" borderId="14" xfId="0" applyNumberFormat="1" applyFill="1" applyBorder="1" applyAlignment="1">
      <alignment horizontal="center" vertical="center" wrapText="1"/>
    </xf>
    <xf numFmtId="1" fontId="0" fillId="2" borderId="15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20" xfId="0" applyNumberFormat="1" applyFill="1" applyBorder="1" applyAlignment="1">
      <alignment horizontal="center" vertical="center" wrapText="1"/>
    </xf>
    <xf numFmtId="164" fontId="0" fillId="2" borderId="20" xfId="0" applyNumberFormat="1" applyFill="1" applyBorder="1" applyAlignment="1">
      <alignment horizontal="center" vertical="center" wrapText="1"/>
    </xf>
    <xf numFmtId="1" fontId="0" fillId="2" borderId="2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1" fillId="0" borderId="119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3" borderId="3" xfId="0" applyFill="1" applyBorder="1"/>
    <xf numFmtId="0" fontId="0" fillId="0" borderId="67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3" borderId="37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right" vertical="center"/>
    </xf>
    <xf numFmtId="0" fontId="0" fillId="0" borderId="121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3" fontId="13" fillId="0" borderId="0" xfId="2" applyNumberFormat="1" applyFont="1"/>
    <xf numFmtId="0" fontId="13" fillId="0" borderId="0" xfId="2" applyFont="1"/>
    <xf numFmtId="0" fontId="11" fillId="0" borderId="1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0" xfId="0" applyFont="1"/>
    <xf numFmtId="0" fontId="12" fillId="3" borderId="1" xfId="0" applyFont="1" applyFill="1" applyBorder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right" vertical="center"/>
    </xf>
    <xf numFmtId="0" fontId="14" fillId="0" borderId="1" xfId="3" applyFont="1" applyBorder="1" applyAlignment="1">
      <alignment vertical="center"/>
    </xf>
    <xf numFmtId="0" fontId="14" fillId="0" borderId="0" xfId="3" applyFont="1" applyAlignment="1">
      <alignment vertical="center"/>
    </xf>
    <xf numFmtId="3" fontId="14" fillId="0" borderId="0" xfId="3" applyNumberFormat="1" applyFont="1" applyAlignment="1">
      <alignment horizontal="center" vertical="center"/>
    </xf>
    <xf numFmtId="3" fontId="14" fillId="0" borderId="0" xfId="3" applyNumberFormat="1" applyFont="1" applyAlignment="1">
      <alignment vertical="center"/>
    </xf>
    <xf numFmtId="0" fontId="15" fillId="6" borderId="74" xfId="2" applyFont="1" applyFill="1" applyBorder="1" applyAlignment="1">
      <alignment horizontal="center" vertical="center"/>
    </xf>
    <xf numFmtId="3" fontId="15" fillId="6" borderId="74" xfId="2" applyNumberFormat="1" applyFont="1" applyFill="1" applyBorder="1" applyAlignment="1">
      <alignment horizontal="center" vertical="center"/>
    </xf>
    <xf numFmtId="3" fontId="16" fillId="7" borderId="74" xfId="4" applyNumberFormat="1" applyFont="1" applyFill="1" applyBorder="1" applyAlignment="1" applyProtection="1">
      <alignment horizontal="center" vertical="center"/>
    </xf>
    <xf numFmtId="3" fontId="15" fillId="7" borderId="74" xfId="4" applyNumberFormat="1" applyFont="1" applyFill="1" applyBorder="1" applyAlignment="1" applyProtection="1">
      <alignment horizontal="center" vertical="center"/>
    </xf>
    <xf numFmtId="3" fontId="15" fillId="7" borderId="5" xfId="4" applyNumberFormat="1" applyFont="1" applyFill="1" applyBorder="1" applyAlignment="1" applyProtection="1">
      <alignment horizontal="center" vertical="center"/>
    </xf>
    <xf numFmtId="3" fontId="17" fillId="6" borderId="75" xfId="2" applyNumberFormat="1" applyFont="1" applyFill="1" applyBorder="1" applyAlignment="1">
      <alignment vertical="center" wrapText="1"/>
    </xf>
    <xf numFmtId="0" fontId="18" fillId="0" borderId="78" xfId="2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 applyAlignment="1">
      <alignment horizontal="center" vertical="center"/>
    </xf>
    <xf numFmtId="3" fontId="18" fillId="0" borderId="0" xfId="4" applyNumberFormat="1" applyFont="1" applyFill="1" applyAlignment="1" applyProtection="1">
      <alignment horizontal="center" vertical="center"/>
    </xf>
    <xf numFmtId="3" fontId="18" fillId="0" borderId="0" xfId="2" applyNumberFormat="1" applyFont="1" applyAlignment="1">
      <alignment vertical="center"/>
    </xf>
    <xf numFmtId="0" fontId="19" fillId="0" borderId="0" xfId="3" applyFont="1" applyAlignment="1">
      <alignment vertical="center"/>
    </xf>
    <xf numFmtId="0" fontId="20" fillId="0" borderId="0" xfId="2" applyFont="1"/>
    <xf numFmtId="0" fontId="16" fillId="8" borderId="115" xfId="2" applyFont="1" applyFill="1" applyBorder="1"/>
    <xf numFmtId="165" fontId="14" fillId="8" borderId="117" xfId="2" applyNumberFormat="1" applyFont="1" applyFill="1" applyBorder="1" applyAlignment="1">
      <alignment horizontal="left"/>
    </xf>
    <xf numFmtId="0" fontId="16" fillId="8" borderId="117" xfId="2" applyFont="1" applyFill="1" applyBorder="1" applyAlignment="1">
      <alignment horizontal="center"/>
    </xf>
    <xf numFmtId="3" fontId="16" fillId="8" borderId="117" xfId="2" applyNumberFormat="1" applyFont="1" applyFill="1" applyBorder="1" applyAlignment="1">
      <alignment horizontal="center" vertical="center"/>
    </xf>
    <xf numFmtId="3" fontId="15" fillId="8" borderId="117" xfId="2" applyNumberFormat="1" applyFont="1" applyFill="1" applyBorder="1" applyAlignment="1">
      <alignment horizontal="center" vertical="center"/>
    </xf>
    <xf numFmtId="3" fontId="15" fillId="8" borderId="117" xfId="2" applyNumberFormat="1" applyFont="1" applyFill="1" applyBorder="1" applyAlignment="1">
      <alignment horizontal="center"/>
    </xf>
    <xf numFmtId="3" fontId="16" fillId="8" borderId="118" xfId="2" applyNumberFormat="1" applyFont="1" applyFill="1" applyBorder="1" applyAlignment="1">
      <alignment vertical="center"/>
    </xf>
    <xf numFmtId="1" fontId="14" fillId="0" borderId="115" xfId="2" applyNumberFormat="1" applyFont="1" applyBorder="1" applyAlignment="1">
      <alignment horizontal="center"/>
    </xf>
    <xf numFmtId="0" fontId="14" fillId="0" borderId="117" xfId="2" applyFont="1" applyBorder="1"/>
    <xf numFmtId="0" fontId="21" fillId="0" borderId="117" xfId="2" applyFont="1" applyBorder="1"/>
    <xf numFmtId="3" fontId="21" fillId="0" borderId="117" xfId="2" applyNumberFormat="1" applyFont="1" applyBorder="1" applyAlignment="1">
      <alignment horizontal="center" vertical="center"/>
    </xf>
    <xf numFmtId="3" fontId="9" fillId="0" borderId="117" xfId="2" applyNumberFormat="1" applyFont="1" applyBorder="1" applyAlignment="1">
      <alignment horizontal="center" vertical="center"/>
    </xf>
    <xf numFmtId="3" fontId="9" fillId="0" borderId="117" xfId="2" applyNumberFormat="1" applyFont="1" applyBorder="1"/>
    <xf numFmtId="166" fontId="14" fillId="0" borderId="77" xfId="2" applyNumberFormat="1" applyFont="1" applyBorder="1" applyAlignment="1">
      <alignment vertical="center"/>
    </xf>
    <xf numFmtId="1" fontId="22" fillId="0" borderId="86" xfId="2" applyNumberFormat="1" applyFont="1" applyBorder="1" applyAlignment="1">
      <alignment horizontal="center"/>
    </xf>
    <xf numFmtId="0" fontId="9" fillId="0" borderId="79" xfId="2" applyFont="1" applyBorder="1"/>
    <xf numFmtId="0" fontId="9" fillId="0" borderId="80" xfId="2" applyFont="1" applyBorder="1" applyAlignment="1">
      <alignment horizontal="center"/>
    </xf>
    <xf numFmtId="3" fontId="9" fillId="0" borderId="80" xfId="2" applyNumberFormat="1" applyFont="1" applyBorder="1" applyAlignment="1">
      <alignment horizontal="center" vertical="center"/>
    </xf>
    <xf numFmtId="3" fontId="22" fillId="0" borderId="83" xfId="1" applyNumberFormat="1" applyFont="1" applyFill="1" applyBorder="1" applyAlignment="1" applyProtection="1">
      <alignment horizontal="center" vertical="center"/>
    </xf>
    <xf numFmtId="3" fontId="23" fillId="0" borderId="81" xfId="1" applyNumberFormat="1" applyFont="1" applyFill="1" applyBorder="1" applyAlignment="1" applyProtection="1">
      <alignment horizontal="center" vertical="center"/>
    </xf>
    <xf numFmtId="3" fontId="22" fillId="0" borderId="90" xfId="1" applyNumberFormat="1" applyFont="1" applyFill="1" applyBorder="1" applyAlignment="1" applyProtection="1">
      <alignment horizontal="right"/>
    </xf>
    <xf numFmtId="3" fontId="24" fillId="0" borderId="60" xfId="2" applyNumberFormat="1" applyFont="1" applyBorder="1" applyAlignment="1">
      <alignment vertical="center"/>
    </xf>
    <xf numFmtId="0" fontId="25" fillId="0" borderId="0" xfId="2" applyFont="1"/>
    <xf numFmtId="0" fontId="26" fillId="0" borderId="82" xfId="2" applyFont="1" applyBorder="1"/>
    <xf numFmtId="0" fontId="9" fillId="0" borderId="83" xfId="2" applyFont="1" applyBorder="1" applyAlignment="1">
      <alignment horizontal="center"/>
    </xf>
    <xf numFmtId="3" fontId="22" fillId="0" borderId="81" xfId="1" applyNumberFormat="1" applyFont="1" applyFill="1" applyBorder="1" applyAlignment="1" applyProtection="1">
      <alignment horizontal="center" vertical="center"/>
    </xf>
    <xf numFmtId="3" fontId="22" fillId="0" borderId="84" xfId="1" applyNumberFormat="1" applyFont="1" applyFill="1" applyBorder="1" applyAlignment="1" applyProtection="1">
      <alignment horizontal="right"/>
    </xf>
    <xf numFmtId="3" fontId="24" fillId="0" borderId="93" xfId="2" applyNumberFormat="1" applyFont="1" applyBorder="1" applyAlignment="1">
      <alignment vertical="center"/>
    </xf>
    <xf numFmtId="4" fontId="14" fillId="0" borderId="0" xfId="3" applyNumberFormat="1" applyFont="1" applyAlignment="1">
      <alignment vertical="center"/>
    </xf>
    <xf numFmtId="0" fontId="9" fillId="0" borderId="82" xfId="2" applyFont="1" applyBorder="1"/>
    <xf numFmtId="0" fontId="24" fillId="0" borderId="0" xfId="2" applyFont="1"/>
    <xf numFmtId="42" fontId="14" fillId="0" borderId="77" xfId="2" applyNumberFormat="1" applyFont="1" applyBorder="1" applyAlignment="1">
      <alignment vertical="center"/>
    </xf>
    <xf numFmtId="0" fontId="9" fillId="0" borderId="83" xfId="2" applyFont="1" applyBorder="1" applyAlignment="1">
      <alignment horizontal="center" vertical="center"/>
    </xf>
    <xf numFmtId="4" fontId="22" fillId="0" borderId="83" xfId="1" applyNumberFormat="1" applyFont="1" applyFill="1" applyBorder="1" applyAlignment="1" applyProtection="1">
      <alignment horizontal="center" vertical="center"/>
    </xf>
    <xf numFmtId="3" fontId="22" fillId="0" borderId="87" xfId="1" applyNumberFormat="1" applyFont="1" applyFill="1" applyBorder="1" applyAlignment="1" applyProtection="1">
      <alignment horizontal="center" vertical="center"/>
    </xf>
    <xf numFmtId="0" fontId="9" fillId="0" borderId="82" xfId="2" applyFont="1" applyBorder="1" applyAlignment="1">
      <alignment horizontal="left" wrapText="1"/>
    </xf>
    <xf numFmtId="3" fontId="15" fillId="0" borderId="84" xfId="2" applyNumberFormat="1" applyFont="1" applyBorder="1"/>
    <xf numFmtId="3" fontId="9" fillId="0" borderId="93" xfId="2" applyNumberFormat="1" applyFont="1" applyBorder="1" applyAlignment="1">
      <alignment vertical="center"/>
    </xf>
    <xf numFmtId="4" fontId="9" fillId="0" borderId="83" xfId="2" applyNumberFormat="1" applyFont="1" applyBorder="1" applyAlignment="1">
      <alignment horizontal="center"/>
    </xf>
    <xf numFmtId="3" fontId="9" fillId="0" borderId="83" xfId="2" applyNumberFormat="1" applyFont="1" applyBorder="1" applyAlignment="1">
      <alignment horizontal="center" vertical="center"/>
    </xf>
    <xf numFmtId="3" fontId="23" fillId="0" borderId="83" xfId="2" applyNumberFormat="1" applyFont="1" applyBorder="1" applyAlignment="1">
      <alignment horizontal="center" vertical="center"/>
    </xf>
    <xf numFmtId="1" fontId="11" fillId="0" borderId="0" xfId="0" applyNumberFormat="1" applyFont="1"/>
    <xf numFmtId="1" fontId="22" fillId="0" borderId="89" xfId="2" applyNumberFormat="1" applyFont="1" applyBorder="1" applyAlignment="1">
      <alignment horizontal="center"/>
    </xf>
    <xf numFmtId="0" fontId="9" fillId="0" borderId="126" xfId="2" applyFont="1" applyBorder="1"/>
    <xf numFmtId="4" fontId="9" fillId="0" borderId="101" xfId="2" applyNumberFormat="1" applyFont="1" applyBorder="1" applyAlignment="1">
      <alignment horizontal="center"/>
    </xf>
    <xf numFmtId="3" fontId="9" fillId="0" borderId="101" xfId="2" applyNumberFormat="1" applyFont="1" applyBorder="1" applyAlignment="1">
      <alignment horizontal="center" vertical="center"/>
    </xf>
    <xf numFmtId="3" fontId="22" fillId="0" borderId="96" xfId="1" applyNumberFormat="1" applyFont="1" applyFill="1" applyBorder="1" applyAlignment="1" applyProtection="1">
      <alignment horizontal="center" vertical="center"/>
    </xf>
    <xf numFmtId="3" fontId="22" fillId="0" borderId="88" xfId="1" applyNumberFormat="1" applyFont="1" applyFill="1" applyBorder="1" applyAlignment="1" applyProtection="1">
      <alignment horizontal="right"/>
    </xf>
    <xf numFmtId="3" fontId="24" fillId="0" borderId="71" xfId="2" applyNumberFormat="1" applyFont="1" applyBorder="1" applyAlignment="1">
      <alignment vertical="center"/>
    </xf>
    <xf numFmtId="1" fontId="22" fillId="5" borderId="94" xfId="2" applyNumberFormat="1" applyFont="1" applyFill="1" applyBorder="1" applyAlignment="1">
      <alignment horizontal="center"/>
    </xf>
    <xf numFmtId="0" fontId="9" fillId="5" borderId="94" xfId="2" applyFont="1" applyFill="1" applyBorder="1"/>
    <xf numFmtId="165" fontId="9" fillId="0" borderId="94" xfId="2" applyNumberFormat="1" applyFont="1" applyBorder="1" applyAlignment="1">
      <alignment horizontal="center"/>
    </xf>
    <xf numFmtId="3" fontId="9" fillId="0" borderId="94" xfId="2" applyNumberFormat="1" applyFont="1" applyBorder="1" applyAlignment="1">
      <alignment horizontal="center" vertical="center"/>
    </xf>
    <xf numFmtId="3" fontId="22" fillId="0" borderId="94" xfId="1" applyNumberFormat="1" applyFont="1" applyFill="1" applyBorder="1" applyAlignment="1" applyProtection="1">
      <alignment horizontal="center" vertical="center"/>
    </xf>
    <xf numFmtId="3" fontId="22" fillId="0" borderId="94" xfId="1" applyNumberFormat="1" applyFont="1" applyFill="1" applyBorder="1" applyAlignment="1" applyProtection="1">
      <alignment horizontal="right"/>
    </xf>
    <xf numFmtId="3" fontId="22" fillId="0" borderId="94" xfId="1" applyNumberFormat="1" applyFont="1" applyFill="1" applyBorder="1" applyAlignment="1" applyProtection="1">
      <alignment vertical="center"/>
    </xf>
    <xf numFmtId="0" fontId="13" fillId="0" borderId="0" xfId="2" applyFont="1" applyAlignment="1">
      <alignment vertical="center"/>
    </xf>
    <xf numFmtId="1" fontId="22" fillId="0" borderId="76" xfId="6" applyNumberFormat="1" applyFont="1" applyBorder="1" applyAlignment="1">
      <alignment vertical="center"/>
    </xf>
    <xf numFmtId="0" fontId="27" fillId="0" borderId="94" xfId="6" applyFont="1" applyBorder="1" applyAlignment="1">
      <alignment horizontal="left" vertical="center"/>
    </xf>
    <xf numFmtId="0" fontId="28" fillId="0" borderId="94" xfId="6" applyFont="1" applyBorder="1" applyAlignment="1">
      <alignment vertical="center"/>
    </xf>
    <xf numFmtId="3" fontId="28" fillId="0" borderId="94" xfId="6" applyNumberFormat="1" applyFont="1" applyBorder="1" applyAlignment="1">
      <alignment horizontal="center" vertical="center"/>
    </xf>
    <xf numFmtId="0" fontId="29" fillId="0" borderId="94" xfId="6" applyFont="1" applyBorder="1" applyAlignment="1">
      <alignment horizontal="center" vertical="center"/>
    </xf>
    <xf numFmtId="0" fontId="29" fillId="0" borderId="95" xfId="6" applyFont="1" applyBorder="1" applyAlignment="1">
      <alignment vertical="center"/>
    </xf>
    <xf numFmtId="42" fontId="14" fillId="0" borderId="97" xfId="7" applyNumberFormat="1" applyFont="1" applyFill="1" applyBorder="1" applyAlignment="1" applyProtection="1">
      <alignment vertical="center"/>
    </xf>
    <xf numFmtId="1" fontId="30" fillId="5" borderId="115" xfId="6" applyNumberFormat="1" applyFont="1" applyFill="1" applyBorder="1" applyAlignment="1">
      <alignment vertical="center"/>
    </xf>
    <xf numFmtId="2" fontId="29" fillId="5" borderId="117" xfId="6" applyNumberFormat="1" applyFont="1" applyFill="1" applyBorder="1" applyAlignment="1">
      <alignment vertical="center"/>
    </xf>
    <xf numFmtId="0" fontId="14" fillId="5" borderId="117" xfId="6" applyFont="1" applyFill="1" applyBorder="1" applyAlignment="1">
      <alignment vertical="center"/>
    </xf>
    <xf numFmtId="3" fontId="14" fillId="5" borderId="117" xfId="6" applyNumberFormat="1" applyFont="1" applyFill="1" applyBorder="1" applyAlignment="1">
      <alignment horizontal="center" vertical="center"/>
    </xf>
    <xf numFmtId="167" fontId="9" fillId="0" borderId="117" xfId="2" applyNumberFormat="1" applyFont="1" applyBorder="1" applyAlignment="1">
      <alignment horizontal="center" vertical="center"/>
    </xf>
    <xf numFmtId="167" fontId="9" fillId="0" borderId="95" xfId="2" applyNumberFormat="1" applyFont="1" applyBorder="1" applyAlignment="1">
      <alignment horizontal="center" vertical="center"/>
    </xf>
    <xf numFmtId="42" fontId="14" fillId="0" borderId="118" xfId="7" applyNumberFormat="1" applyFont="1" applyFill="1" applyBorder="1" applyAlignment="1" applyProtection="1">
      <alignment vertical="center"/>
    </xf>
    <xf numFmtId="1" fontId="30" fillId="5" borderId="1" xfId="6" applyNumberFormat="1" applyFont="1" applyFill="1" applyBorder="1" applyAlignment="1">
      <alignment vertical="center"/>
    </xf>
    <xf numFmtId="2" fontId="29" fillId="5" borderId="0" xfId="6" applyNumberFormat="1" applyFont="1" applyFill="1" applyAlignment="1">
      <alignment vertical="center"/>
    </xf>
    <xf numFmtId="0" fontId="14" fillId="5" borderId="0" xfId="6" applyFont="1" applyFill="1" applyAlignment="1">
      <alignment vertical="center"/>
    </xf>
    <xf numFmtId="3" fontId="14" fillId="5" borderId="0" xfId="6" applyNumberFormat="1" applyFont="1" applyFill="1" applyAlignment="1">
      <alignment horizontal="center" vertical="center"/>
    </xf>
    <xf numFmtId="167" fontId="9" fillId="0" borderId="9" xfId="2" applyNumberFormat="1" applyFont="1" applyBorder="1" applyAlignment="1">
      <alignment horizontal="center" vertical="center"/>
    </xf>
    <xf numFmtId="167" fontId="9" fillId="0" borderId="68" xfId="2" applyNumberFormat="1" applyFont="1" applyBorder="1" applyAlignment="1">
      <alignment horizontal="center" vertical="center"/>
    </xf>
    <xf numFmtId="42" fontId="14" fillId="0" borderId="8" xfId="7" applyNumberFormat="1" applyFont="1" applyFill="1" applyBorder="1" applyAlignment="1" applyProtection="1">
      <alignment vertical="center"/>
    </xf>
    <xf numFmtId="1" fontId="22" fillId="9" borderId="76" xfId="6" applyNumberFormat="1" applyFont="1" applyFill="1" applyBorder="1" applyAlignment="1">
      <alignment vertical="center"/>
    </xf>
    <xf numFmtId="0" fontId="27" fillId="9" borderId="94" xfId="6" applyFont="1" applyFill="1" applyBorder="1" applyAlignment="1">
      <alignment vertical="center"/>
    </xf>
    <xf numFmtId="0" fontId="28" fillId="9" borderId="94" xfId="6" applyFont="1" applyFill="1" applyBorder="1" applyAlignment="1">
      <alignment vertical="center"/>
    </xf>
    <xf numFmtId="3" fontId="28" fillId="9" borderId="94" xfId="6" applyNumberFormat="1" applyFont="1" applyFill="1" applyBorder="1" applyAlignment="1">
      <alignment horizontal="center" vertical="center"/>
    </xf>
    <xf numFmtId="0" fontId="29" fillId="9" borderId="94" xfId="6" applyFont="1" applyFill="1" applyBorder="1" applyAlignment="1">
      <alignment horizontal="center" vertical="center"/>
    </xf>
    <xf numFmtId="0" fontId="29" fillId="9" borderId="94" xfId="6" applyFont="1" applyFill="1" applyBorder="1" applyAlignment="1">
      <alignment vertical="center"/>
    </xf>
    <xf numFmtId="42" fontId="14" fillId="9" borderId="77" xfId="7" applyNumberFormat="1" applyFont="1" applyFill="1" applyBorder="1" applyAlignment="1" applyProtection="1">
      <alignment vertical="center"/>
    </xf>
    <xf numFmtId="1" fontId="31" fillId="5" borderId="7" xfId="6" applyNumberFormat="1" applyFont="1" applyFill="1" applyBorder="1" applyAlignment="1">
      <alignment vertical="center"/>
    </xf>
    <xf numFmtId="3" fontId="14" fillId="5" borderId="9" xfId="6" applyNumberFormat="1" applyFont="1" applyFill="1" applyBorder="1" applyAlignment="1">
      <alignment vertical="center"/>
    </xf>
    <xf numFmtId="3" fontId="14" fillId="0" borderId="9" xfId="6" applyNumberFormat="1" applyFont="1" applyBorder="1" applyAlignment="1">
      <alignment horizontal="center" vertical="center"/>
    </xf>
    <xf numFmtId="0" fontId="13" fillId="0" borderId="94" xfId="2" applyFont="1" applyBorder="1" applyAlignment="1">
      <alignment horizontal="center" vertical="center"/>
    </xf>
    <xf numFmtId="0" fontId="13" fillId="0" borderId="9" xfId="2" applyFont="1" applyBorder="1" applyAlignment="1">
      <alignment vertical="center"/>
    </xf>
    <xf numFmtId="3" fontId="15" fillId="5" borderId="103" xfId="6" applyNumberFormat="1" applyFont="1" applyFill="1" applyBorder="1" applyAlignment="1">
      <alignment vertical="center"/>
    </xf>
    <xf numFmtId="3" fontId="13" fillId="0" borderId="0" xfId="2" applyNumberFormat="1" applyFont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3" fontId="9" fillId="0" borderId="0" xfId="2" applyNumberFormat="1" applyFont="1"/>
    <xf numFmtId="3" fontId="13" fillId="0" borderId="0" xfId="2" applyNumberFormat="1" applyFont="1" applyAlignment="1">
      <alignment vertical="center"/>
    </xf>
    <xf numFmtId="3" fontId="22" fillId="0" borderId="99" xfId="1" applyNumberFormat="1" applyFont="1" applyFill="1" applyBorder="1" applyAlignment="1" applyProtection="1">
      <alignment horizontal="center" vertical="center"/>
    </xf>
    <xf numFmtId="3" fontId="22" fillId="0" borderId="124" xfId="1" applyNumberFormat="1" applyFont="1" applyFill="1" applyBorder="1" applyAlignment="1" applyProtection="1">
      <alignment horizontal="center" vertical="center"/>
    </xf>
    <xf numFmtId="3" fontId="22" fillId="0" borderId="112" xfId="1" applyNumberFormat="1" applyFont="1" applyFill="1" applyBorder="1" applyAlignment="1" applyProtection="1">
      <alignment horizontal="center" vertical="center"/>
    </xf>
    <xf numFmtId="0" fontId="9" fillId="0" borderId="102" xfId="2" applyFont="1" applyBorder="1" applyAlignment="1">
      <alignment horizontal="center" vertical="center"/>
    </xf>
    <xf numFmtId="0" fontId="9" fillId="0" borderId="123" xfId="2" applyFont="1" applyBorder="1" applyAlignment="1">
      <alignment horizontal="center" vertical="center"/>
    </xf>
    <xf numFmtId="0" fontId="9" fillId="0" borderId="125" xfId="2" applyFont="1" applyBorder="1" applyAlignment="1">
      <alignment horizontal="center" vertical="center"/>
    </xf>
    <xf numFmtId="3" fontId="22" fillId="0" borderId="102" xfId="1" applyNumberFormat="1" applyFont="1" applyFill="1" applyBorder="1" applyAlignment="1" applyProtection="1">
      <alignment horizontal="center" vertical="center"/>
    </xf>
    <xf numFmtId="3" fontId="22" fillId="0" borderId="123" xfId="1" applyNumberFormat="1" applyFont="1" applyFill="1" applyBorder="1" applyAlignment="1" applyProtection="1">
      <alignment horizontal="center" vertical="center"/>
    </xf>
    <xf numFmtId="3" fontId="22" fillId="0" borderId="125" xfId="1" applyNumberFormat="1" applyFont="1" applyFill="1" applyBorder="1" applyAlignment="1" applyProtection="1">
      <alignment horizontal="center" vertical="center"/>
    </xf>
    <xf numFmtId="0" fontId="15" fillId="6" borderId="72" xfId="2" applyFont="1" applyFill="1" applyBorder="1" applyAlignment="1">
      <alignment horizontal="center" vertical="center"/>
    </xf>
    <xf numFmtId="0" fontId="15" fillId="6" borderId="73" xfId="2" applyFont="1" applyFill="1" applyBorder="1" applyAlignment="1">
      <alignment horizontal="center" vertical="center"/>
    </xf>
    <xf numFmtId="0" fontId="9" fillId="0" borderId="102" xfId="2" applyFont="1" applyBorder="1" applyAlignment="1">
      <alignment horizontal="center" vertical="center" wrapText="1"/>
    </xf>
    <xf numFmtId="0" fontId="11" fillId="0" borderId="123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1" fontId="22" fillId="0" borderId="98" xfId="2" applyNumberFormat="1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100" xfId="0" applyFont="1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3" fillId="0" borderId="76" xfId="0" applyFont="1" applyBorder="1" applyAlignment="1">
      <alignment horizontal="center"/>
    </xf>
    <xf numFmtId="0" fontId="3" fillId="0" borderId="94" xfId="0" applyFont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0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1" fontId="0" fillId="2" borderId="91" xfId="0" applyNumberFormat="1" applyFill="1" applyBorder="1" applyAlignment="1">
      <alignment horizontal="center" vertical="center" wrapText="1"/>
    </xf>
    <xf numFmtId="1" fontId="0" fillId="2" borderId="93" xfId="0" applyNumberFormat="1" applyFill="1" applyBorder="1" applyAlignment="1">
      <alignment horizontal="center" vertical="center" wrapText="1"/>
    </xf>
    <xf numFmtId="1" fontId="0" fillId="2" borderId="7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5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8">
    <cellStyle name="Millares" xfId="1" builtinId="3"/>
    <cellStyle name="Moneda_A Presupuesto VILLA GARCIA " xfId="7" xr:uid="{00000000-0005-0000-0000-000001000000}"/>
    <cellStyle name="Normal" xfId="0" builtinId="0"/>
    <cellStyle name="normal 2" xfId="5" xr:uid="{00000000-0005-0000-0000-000003000000}"/>
    <cellStyle name="Normal 4" xfId="2" xr:uid="{00000000-0005-0000-0000-000004000000}"/>
    <cellStyle name="Normal_A Presupuesto VILLA GARCIA " xfId="6" xr:uid="{00000000-0005-0000-0000-000005000000}"/>
    <cellStyle name="Normal_AAPresup NICOLICH" xfId="3" xr:uid="{00000000-0005-0000-0000-000006000000}"/>
    <cellStyle name="normal_Planilla San Nicolás_1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118110</xdr:colOff>
      <xdr:row>0</xdr:row>
      <xdr:rowOff>182880</xdr:rowOff>
    </xdr:from>
    <xdr:ext cx="1805191" cy="35556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182880"/>
          <a:ext cx="1805191" cy="35556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70" zoomScaleNormal="70" workbookViewId="0">
      <pane ySplit="4" topLeftCell="A5" activePane="bottomLeft" state="frozen"/>
      <selection pane="bottomLeft" activeCell="L7" sqref="L7"/>
    </sheetView>
  </sheetViews>
  <sheetFormatPr baseColWidth="10" defaultColWidth="11" defaultRowHeight="15"/>
  <cols>
    <col min="1" max="1" width="18" style="337" customWidth="1"/>
    <col min="2" max="2" width="90.140625" style="337" customWidth="1"/>
    <col min="3" max="3" width="9.140625" style="337" customWidth="1"/>
    <col min="4" max="4" width="8.28515625" style="460" customWidth="1"/>
    <col min="5" max="5" width="16.5703125" style="460" customWidth="1"/>
    <col min="6" max="6" width="13.85546875" style="461" customWidth="1"/>
    <col min="7" max="7" width="13.85546875" style="462" customWidth="1"/>
    <col min="8" max="8" width="22.7109375" style="463" customWidth="1"/>
    <col min="9" max="9" width="21.28515625" style="336" customWidth="1"/>
    <col min="10" max="10" width="28" style="337" customWidth="1"/>
    <col min="11" max="11" width="19" style="337" customWidth="1"/>
    <col min="12" max="12" width="21" style="337" customWidth="1"/>
    <col min="13" max="13" width="18" style="337" customWidth="1"/>
    <col min="14" max="14" width="16.85546875" style="337" customWidth="1"/>
    <col min="15" max="241" width="11" style="337"/>
    <col min="242" max="242" width="15.28515625" style="337" customWidth="1"/>
    <col min="243" max="243" width="61.5703125" style="337" customWidth="1"/>
    <col min="244" max="244" width="9.140625" style="337" customWidth="1"/>
    <col min="245" max="245" width="8.28515625" style="337" customWidth="1"/>
    <col min="246" max="247" width="16.5703125" style="337" customWidth="1"/>
    <col min="248" max="249" width="13.85546875" style="337" customWidth="1"/>
    <col min="250" max="251" width="19.140625" style="337" customWidth="1"/>
    <col min="252" max="252" width="22.7109375" style="337" bestFit="1" customWidth="1"/>
    <col min="253" max="253" width="22.7109375" style="337" customWidth="1"/>
    <col min="254" max="258" width="0" style="337" hidden="1" customWidth="1"/>
    <col min="259" max="259" width="21.28515625" style="337" bestFit="1" customWidth="1"/>
    <col min="260" max="260" width="21.28515625" style="337" customWidth="1"/>
    <col min="261" max="261" width="25.28515625" style="337" customWidth="1"/>
    <col min="262" max="262" width="17.5703125" style="337" customWidth="1"/>
    <col min="263" max="263" width="16.7109375" style="337" customWidth="1"/>
    <col min="264" max="264" width="30.5703125" style="337" customWidth="1"/>
    <col min="265" max="265" width="19.5703125" style="337" customWidth="1"/>
    <col min="266" max="266" width="28" style="337" customWidth="1"/>
    <col min="267" max="267" width="19" style="337" customWidth="1"/>
    <col min="268" max="268" width="21" style="337" customWidth="1"/>
    <col min="269" max="269" width="18" style="337" customWidth="1"/>
    <col min="270" max="270" width="16.85546875" style="337" customWidth="1"/>
    <col min="271" max="497" width="11" style="337"/>
    <col min="498" max="498" width="15.28515625" style="337" customWidth="1"/>
    <col min="499" max="499" width="61.5703125" style="337" customWidth="1"/>
    <col min="500" max="500" width="9.140625" style="337" customWidth="1"/>
    <col min="501" max="501" width="8.28515625" style="337" customWidth="1"/>
    <col min="502" max="503" width="16.5703125" style="337" customWidth="1"/>
    <col min="504" max="505" width="13.85546875" style="337" customWidth="1"/>
    <col min="506" max="507" width="19.140625" style="337" customWidth="1"/>
    <col min="508" max="508" width="22.7109375" style="337" bestFit="1" customWidth="1"/>
    <col min="509" max="509" width="22.7109375" style="337" customWidth="1"/>
    <col min="510" max="514" width="0" style="337" hidden="1" customWidth="1"/>
    <col min="515" max="515" width="21.28515625" style="337" bestFit="1" customWidth="1"/>
    <col min="516" max="516" width="21.28515625" style="337" customWidth="1"/>
    <col min="517" max="517" width="25.28515625" style="337" customWidth="1"/>
    <col min="518" max="518" width="17.5703125" style="337" customWidth="1"/>
    <col min="519" max="519" width="16.7109375" style="337" customWidth="1"/>
    <col min="520" max="520" width="30.5703125" style="337" customWidth="1"/>
    <col min="521" max="521" width="19.5703125" style="337" customWidth="1"/>
    <col min="522" max="522" width="28" style="337" customWidth="1"/>
    <col min="523" max="523" width="19" style="337" customWidth="1"/>
    <col min="524" max="524" width="21" style="337" customWidth="1"/>
    <col min="525" max="525" width="18" style="337" customWidth="1"/>
    <col min="526" max="526" width="16.85546875" style="337" customWidth="1"/>
    <col min="527" max="753" width="11" style="337"/>
    <col min="754" max="754" width="15.28515625" style="337" customWidth="1"/>
    <col min="755" max="755" width="61.5703125" style="337" customWidth="1"/>
    <col min="756" max="756" width="9.140625" style="337" customWidth="1"/>
    <col min="757" max="757" width="8.28515625" style="337" customWidth="1"/>
    <col min="758" max="759" width="16.5703125" style="337" customWidth="1"/>
    <col min="760" max="761" width="13.85546875" style="337" customWidth="1"/>
    <col min="762" max="763" width="19.140625" style="337" customWidth="1"/>
    <col min="764" max="764" width="22.7109375" style="337" bestFit="1" customWidth="1"/>
    <col min="765" max="765" width="22.7109375" style="337" customWidth="1"/>
    <col min="766" max="770" width="0" style="337" hidden="1" customWidth="1"/>
    <col min="771" max="771" width="21.28515625" style="337" bestFit="1" customWidth="1"/>
    <col min="772" max="772" width="21.28515625" style="337" customWidth="1"/>
    <col min="773" max="773" width="25.28515625" style="337" customWidth="1"/>
    <col min="774" max="774" width="17.5703125" style="337" customWidth="1"/>
    <col min="775" max="775" width="16.7109375" style="337" customWidth="1"/>
    <col min="776" max="776" width="30.5703125" style="337" customWidth="1"/>
    <col min="777" max="777" width="19.5703125" style="337" customWidth="1"/>
    <col min="778" max="778" width="28" style="337" customWidth="1"/>
    <col min="779" max="779" width="19" style="337" customWidth="1"/>
    <col min="780" max="780" width="21" style="337" customWidth="1"/>
    <col min="781" max="781" width="18" style="337" customWidth="1"/>
    <col min="782" max="782" width="16.85546875" style="337" customWidth="1"/>
    <col min="783" max="1009" width="11" style="337"/>
    <col min="1010" max="1010" width="15.28515625" style="337" customWidth="1"/>
    <col min="1011" max="1011" width="61.5703125" style="337" customWidth="1"/>
    <col min="1012" max="1012" width="9.140625" style="337" customWidth="1"/>
    <col min="1013" max="1013" width="8.28515625" style="337" customWidth="1"/>
    <col min="1014" max="1015" width="16.5703125" style="337" customWidth="1"/>
    <col min="1016" max="1017" width="13.85546875" style="337" customWidth="1"/>
    <col min="1018" max="1019" width="19.140625" style="337" customWidth="1"/>
    <col min="1020" max="1020" width="22.7109375" style="337" bestFit="1" customWidth="1"/>
    <col min="1021" max="1021" width="22.7109375" style="337" customWidth="1"/>
    <col min="1022" max="1026" width="0" style="337" hidden="1" customWidth="1"/>
    <col min="1027" max="1027" width="21.28515625" style="337" bestFit="1" customWidth="1"/>
    <col min="1028" max="1028" width="21.28515625" style="337" customWidth="1"/>
    <col min="1029" max="1029" width="25.28515625" style="337" customWidth="1"/>
    <col min="1030" max="1030" width="17.5703125" style="337" customWidth="1"/>
    <col min="1031" max="1031" width="16.7109375" style="337" customWidth="1"/>
    <col min="1032" max="1032" width="30.5703125" style="337" customWidth="1"/>
    <col min="1033" max="1033" width="19.5703125" style="337" customWidth="1"/>
    <col min="1034" max="1034" width="28" style="337" customWidth="1"/>
    <col min="1035" max="1035" width="19" style="337" customWidth="1"/>
    <col min="1036" max="1036" width="21" style="337" customWidth="1"/>
    <col min="1037" max="1037" width="18" style="337" customWidth="1"/>
    <col min="1038" max="1038" width="16.85546875" style="337" customWidth="1"/>
    <col min="1039" max="1265" width="11" style="337"/>
    <col min="1266" max="1266" width="15.28515625" style="337" customWidth="1"/>
    <col min="1267" max="1267" width="61.5703125" style="337" customWidth="1"/>
    <col min="1268" max="1268" width="9.140625" style="337" customWidth="1"/>
    <col min="1269" max="1269" width="8.28515625" style="337" customWidth="1"/>
    <col min="1270" max="1271" width="16.5703125" style="337" customWidth="1"/>
    <col min="1272" max="1273" width="13.85546875" style="337" customWidth="1"/>
    <col min="1274" max="1275" width="19.140625" style="337" customWidth="1"/>
    <col min="1276" max="1276" width="22.7109375" style="337" bestFit="1" customWidth="1"/>
    <col min="1277" max="1277" width="22.7109375" style="337" customWidth="1"/>
    <col min="1278" max="1282" width="0" style="337" hidden="1" customWidth="1"/>
    <col min="1283" max="1283" width="21.28515625" style="337" bestFit="1" customWidth="1"/>
    <col min="1284" max="1284" width="21.28515625" style="337" customWidth="1"/>
    <col min="1285" max="1285" width="25.28515625" style="337" customWidth="1"/>
    <col min="1286" max="1286" width="17.5703125" style="337" customWidth="1"/>
    <col min="1287" max="1287" width="16.7109375" style="337" customWidth="1"/>
    <col min="1288" max="1288" width="30.5703125" style="337" customWidth="1"/>
    <col min="1289" max="1289" width="19.5703125" style="337" customWidth="1"/>
    <col min="1290" max="1290" width="28" style="337" customWidth="1"/>
    <col min="1291" max="1291" width="19" style="337" customWidth="1"/>
    <col min="1292" max="1292" width="21" style="337" customWidth="1"/>
    <col min="1293" max="1293" width="18" style="337" customWidth="1"/>
    <col min="1294" max="1294" width="16.85546875" style="337" customWidth="1"/>
    <col min="1295" max="1521" width="11" style="337"/>
    <col min="1522" max="1522" width="15.28515625" style="337" customWidth="1"/>
    <col min="1523" max="1523" width="61.5703125" style="337" customWidth="1"/>
    <col min="1524" max="1524" width="9.140625" style="337" customWidth="1"/>
    <col min="1525" max="1525" width="8.28515625" style="337" customWidth="1"/>
    <col min="1526" max="1527" width="16.5703125" style="337" customWidth="1"/>
    <col min="1528" max="1529" width="13.85546875" style="337" customWidth="1"/>
    <col min="1530" max="1531" width="19.140625" style="337" customWidth="1"/>
    <col min="1532" max="1532" width="22.7109375" style="337" bestFit="1" customWidth="1"/>
    <col min="1533" max="1533" width="22.7109375" style="337" customWidth="1"/>
    <col min="1534" max="1538" width="0" style="337" hidden="1" customWidth="1"/>
    <col min="1539" max="1539" width="21.28515625" style="337" bestFit="1" customWidth="1"/>
    <col min="1540" max="1540" width="21.28515625" style="337" customWidth="1"/>
    <col min="1541" max="1541" width="25.28515625" style="337" customWidth="1"/>
    <col min="1542" max="1542" width="17.5703125" style="337" customWidth="1"/>
    <col min="1543" max="1543" width="16.7109375" style="337" customWidth="1"/>
    <col min="1544" max="1544" width="30.5703125" style="337" customWidth="1"/>
    <col min="1545" max="1545" width="19.5703125" style="337" customWidth="1"/>
    <col min="1546" max="1546" width="28" style="337" customWidth="1"/>
    <col min="1547" max="1547" width="19" style="337" customWidth="1"/>
    <col min="1548" max="1548" width="21" style="337" customWidth="1"/>
    <col min="1549" max="1549" width="18" style="337" customWidth="1"/>
    <col min="1550" max="1550" width="16.85546875" style="337" customWidth="1"/>
    <col min="1551" max="1777" width="11" style="337"/>
    <col min="1778" max="1778" width="15.28515625" style="337" customWidth="1"/>
    <col min="1779" max="1779" width="61.5703125" style="337" customWidth="1"/>
    <col min="1780" max="1780" width="9.140625" style="337" customWidth="1"/>
    <col min="1781" max="1781" width="8.28515625" style="337" customWidth="1"/>
    <col min="1782" max="1783" width="16.5703125" style="337" customWidth="1"/>
    <col min="1784" max="1785" width="13.85546875" style="337" customWidth="1"/>
    <col min="1786" max="1787" width="19.140625" style="337" customWidth="1"/>
    <col min="1788" max="1788" width="22.7109375" style="337" bestFit="1" customWidth="1"/>
    <col min="1789" max="1789" width="22.7109375" style="337" customWidth="1"/>
    <col min="1790" max="1794" width="0" style="337" hidden="1" customWidth="1"/>
    <col min="1795" max="1795" width="21.28515625" style="337" bestFit="1" customWidth="1"/>
    <col min="1796" max="1796" width="21.28515625" style="337" customWidth="1"/>
    <col min="1797" max="1797" width="25.28515625" style="337" customWidth="1"/>
    <col min="1798" max="1798" width="17.5703125" style="337" customWidth="1"/>
    <col min="1799" max="1799" width="16.7109375" style="337" customWidth="1"/>
    <col min="1800" max="1800" width="30.5703125" style="337" customWidth="1"/>
    <col min="1801" max="1801" width="19.5703125" style="337" customWidth="1"/>
    <col min="1802" max="1802" width="28" style="337" customWidth="1"/>
    <col min="1803" max="1803" width="19" style="337" customWidth="1"/>
    <col min="1804" max="1804" width="21" style="337" customWidth="1"/>
    <col min="1805" max="1805" width="18" style="337" customWidth="1"/>
    <col min="1806" max="1806" width="16.85546875" style="337" customWidth="1"/>
    <col min="1807" max="2033" width="11" style="337"/>
    <col min="2034" max="2034" width="15.28515625" style="337" customWidth="1"/>
    <col min="2035" max="2035" width="61.5703125" style="337" customWidth="1"/>
    <col min="2036" max="2036" width="9.140625" style="337" customWidth="1"/>
    <col min="2037" max="2037" width="8.28515625" style="337" customWidth="1"/>
    <col min="2038" max="2039" width="16.5703125" style="337" customWidth="1"/>
    <col min="2040" max="2041" width="13.85546875" style="337" customWidth="1"/>
    <col min="2042" max="2043" width="19.140625" style="337" customWidth="1"/>
    <col min="2044" max="2044" width="22.7109375" style="337" bestFit="1" customWidth="1"/>
    <col min="2045" max="2045" width="22.7109375" style="337" customWidth="1"/>
    <col min="2046" max="2050" width="0" style="337" hidden="1" customWidth="1"/>
    <col min="2051" max="2051" width="21.28515625" style="337" bestFit="1" customWidth="1"/>
    <col min="2052" max="2052" width="21.28515625" style="337" customWidth="1"/>
    <col min="2053" max="2053" width="25.28515625" style="337" customWidth="1"/>
    <col min="2054" max="2054" width="17.5703125" style="337" customWidth="1"/>
    <col min="2055" max="2055" width="16.7109375" style="337" customWidth="1"/>
    <col min="2056" max="2056" width="30.5703125" style="337" customWidth="1"/>
    <col min="2057" max="2057" width="19.5703125" style="337" customWidth="1"/>
    <col min="2058" max="2058" width="28" style="337" customWidth="1"/>
    <col min="2059" max="2059" width="19" style="337" customWidth="1"/>
    <col min="2060" max="2060" width="21" style="337" customWidth="1"/>
    <col min="2061" max="2061" width="18" style="337" customWidth="1"/>
    <col min="2062" max="2062" width="16.85546875" style="337" customWidth="1"/>
    <col min="2063" max="2289" width="11" style="337"/>
    <col min="2290" max="2290" width="15.28515625" style="337" customWidth="1"/>
    <col min="2291" max="2291" width="61.5703125" style="337" customWidth="1"/>
    <col min="2292" max="2292" width="9.140625" style="337" customWidth="1"/>
    <col min="2293" max="2293" width="8.28515625" style="337" customWidth="1"/>
    <col min="2294" max="2295" width="16.5703125" style="337" customWidth="1"/>
    <col min="2296" max="2297" width="13.85546875" style="337" customWidth="1"/>
    <col min="2298" max="2299" width="19.140625" style="337" customWidth="1"/>
    <col min="2300" max="2300" width="22.7109375" style="337" bestFit="1" customWidth="1"/>
    <col min="2301" max="2301" width="22.7109375" style="337" customWidth="1"/>
    <col min="2302" max="2306" width="0" style="337" hidden="1" customWidth="1"/>
    <col min="2307" max="2307" width="21.28515625" style="337" bestFit="1" customWidth="1"/>
    <col min="2308" max="2308" width="21.28515625" style="337" customWidth="1"/>
    <col min="2309" max="2309" width="25.28515625" style="337" customWidth="1"/>
    <col min="2310" max="2310" width="17.5703125" style="337" customWidth="1"/>
    <col min="2311" max="2311" width="16.7109375" style="337" customWidth="1"/>
    <col min="2312" max="2312" width="30.5703125" style="337" customWidth="1"/>
    <col min="2313" max="2313" width="19.5703125" style="337" customWidth="1"/>
    <col min="2314" max="2314" width="28" style="337" customWidth="1"/>
    <col min="2315" max="2315" width="19" style="337" customWidth="1"/>
    <col min="2316" max="2316" width="21" style="337" customWidth="1"/>
    <col min="2317" max="2317" width="18" style="337" customWidth="1"/>
    <col min="2318" max="2318" width="16.85546875" style="337" customWidth="1"/>
    <col min="2319" max="2545" width="11" style="337"/>
    <col min="2546" max="2546" width="15.28515625" style="337" customWidth="1"/>
    <col min="2547" max="2547" width="61.5703125" style="337" customWidth="1"/>
    <col min="2548" max="2548" width="9.140625" style="337" customWidth="1"/>
    <col min="2549" max="2549" width="8.28515625" style="337" customWidth="1"/>
    <col min="2550" max="2551" width="16.5703125" style="337" customWidth="1"/>
    <col min="2552" max="2553" width="13.85546875" style="337" customWidth="1"/>
    <col min="2554" max="2555" width="19.140625" style="337" customWidth="1"/>
    <col min="2556" max="2556" width="22.7109375" style="337" bestFit="1" customWidth="1"/>
    <col min="2557" max="2557" width="22.7109375" style="337" customWidth="1"/>
    <col min="2558" max="2562" width="0" style="337" hidden="1" customWidth="1"/>
    <col min="2563" max="2563" width="21.28515625" style="337" bestFit="1" customWidth="1"/>
    <col min="2564" max="2564" width="21.28515625" style="337" customWidth="1"/>
    <col min="2565" max="2565" width="25.28515625" style="337" customWidth="1"/>
    <col min="2566" max="2566" width="17.5703125" style="337" customWidth="1"/>
    <col min="2567" max="2567" width="16.7109375" style="337" customWidth="1"/>
    <col min="2568" max="2568" width="30.5703125" style="337" customWidth="1"/>
    <col min="2569" max="2569" width="19.5703125" style="337" customWidth="1"/>
    <col min="2570" max="2570" width="28" style="337" customWidth="1"/>
    <col min="2571" max="2571" width="19" style="337" customWidth="1"/>
    <col min="2572" max="2572" width="21" style="337" customWidth="1"/>
    <col min="2573" max="2573" width="18" style="337" customWidth="1"/>
    <col min="2574" max="2574" width="16.85546875" style="337" customWidth="1"/>
    <col min="2575" max="2801" width="11" style="337"/>
    <col min="2802" max="2802" width="15.28515625" style="337" customWidth="1"/>
    <col min="2803" max="2803" width="61.5703125" style="337" customWidth="1"/>
    <col min="2804" max="2804" width="9.140625" style="337" customWidth="1"/>
    <col min="2805" max="2805" width="8.28515625" style="337" customWidth="1"/>
    <col min="2806" max="2807" width="16.5703125" style="337" customWidth="1"/>
    <col min="2808" max="2809" width="13.85546875" style="337" customWidth="1"/>
    <col min="2810" max="2811" width="19.140625" style="337" customWidth="1"/>
    <col min="2812" max="2812" width="22.7109375" style="337" bestFit="1" customWidth="1"/>
    <col min="2813" max="2813" width="22.7109375" style="337" customWidth="1"/>
    <col min="2814" max="2818" width="0" style="337" hidden="1" customWidth="1"/>
    <col min="2819" max="2819" width="21.28515625" style="337" bestFit="1" customWidth="1"/>
    <col min="2820" max="2820" width="21.28515625" style="337" customWidth="1"/>
    <col min="2821" max="2821" width="25.28515625" style="337" customWidth="1"/>
    <col min="2822" max="2822" width="17.5703125" style="337" customWidth="1"/>
    <col min="2823" max="2823" width="16.7109375" style="337" customWidth="1"/>
    <col min="2824" max="2824" width="30.5703125" style="337" customWidth="1"/>
    <col min="2825" max="2825" width="19.5703125" style="337" customWidth="1"/>
    <col min="2826" max="2826" width="28" style="337" customWidth="1"/>
    <col min="2827" max="2827" width="19" style="337" customWidth="1"/>
    <col min="2828" max="2828" width="21" style="337" customWidth="1"/>
    <col min="2829" max="2829" width="18" style="337" customWidth="1"/>
    <col min="2830" max="2830" width="16.85546875" style="337" customWidth="1"/>
    <col min="2831" max="3057" width="11" style="337"/>
    <col min="3058" max="3058" width="15.28515625" style="337" customWidth="1"/>
    <col min="3059" max="3059" width="61.5703125" style="337" customWidth="1"/>
    <col min="3060" max="3060" width="9.140625" style="337" customWidth="1"/>
    <col min="3061" max="3061" width="8.28515625" style="337" customWidth="1"/>
    <col min="3062" max="3063" width="16.5703125" style="337" customWidth="1"/>
    <col min="3064" max="3065" width="13.85546875" style="337" customWidth="1"/>
    <col min="3066" max="3067" width="19.140625" style="337" customWidth="1"/>
    <col min="3068" max="3068" width="22.7109375" style="337" bestFit="1" customWidth="1"/>
    <col min="3069" max="3069" width="22.7109375" style="337" customWidth="1"/>
    <col min="3070" max="3074" width="0" style="337" hidden="1" customWidth="1"/>
    <col min="3075" max="3075" width="21.28515625" style="337" bestFit="1" customWidth="1"/>
    <col min="3076" max="3076" width="21.28515625" style="337" customWidth="1"/>
    <col min="3077" max="3077" width="25.28515625" style="337" customWidth="1"/>
    <col min="3078" max="3078" width="17.5703125" style="337" customWidth="1"/>
    <col min="3079" max="3079" width="16.7109375" style="337" customWidth="1"/>
    <col min="3080" max="3080" width="30.5703125" style="337" customWidth="1"/>
    <col min="3081" max="3081" width="19.5703125" style="337" customWidth="1"/>
    <col min="3082" max="3082" width="28" style="337" customWidth="1"/>
    <col min="3083" max="3083" width="19" style="337" customWidth="1"/>
    <col min="3084" max="3084" width="21" style="337" customWidth="1"/>
    <col min="3085" max="3085" width="18" style="337" customWidth="1"/>
    <col min="3086" max="3086" width="16.85546875" style="337" customWidth="1"/>
    <col min="3087" max="3313" width="11" style="337"/>
    <col min="3314" max="3314" width="15.28515625" style="337" customWidth="1"/>
    <col min="3315" max="3315" width="61.5703125" style="337" customWidth="1"/>
    <col min="3316" max="3316" width="9.140625" style="337" customWidth="1"/>
    <col min="3317" max="3317" width="8.28515625" style="337" customWidth="1"/>
    <col min="3318" max="3319" width="16.5703125" style="337" customWidth="1"/>
    <col min="3320" max="3321" width="13.85546875" style="337" customWidth="1"/>
    <col min="3322" max="3323" width="19.140625" style="337" customWidth="1"/>
    <col min="3324" max="3324" width="22.7109375" style="337" bestFit="1" customWidth="1"/>
    <col min="3325" max="3325" width="22.7109375" style="337" customWidth="1"/>
    <col min="3326" max="3330" width="0" style="337" hidden="1" customWidth="1"/>
    <col min="3331" max="3331" width="21.28515625" style="337" bestFit="1" customWidth="1"/>
    <col min="3332" max="3332" width="21.28515625" style="337" customWidth="1"/>
    <col min="3333" max="3333" width="25.28515625" style="337" customWidth="1"/>
    <col min="3334" max="3334" width="17.5703125" style="337" customWidth="1"/>
    <col min="3335" max="3335" width="16.7109375" style="337" customWidth="1"/>
    <col min="3336" max="3336" width="30.5703125" style="337" customWidth="1"/>
    <col min="3337" max="3337" width="19.5703125" style="337" customWidth="1"/>
    <col min="3338" max="3338" width="28" style="337" customWidth="1"/>
    <col min="3339" max="3339" width="19" style="337" customWidth="1"/>
    <col min="3340" max="3340" width="21" style="337" customWidth="1"/>
    <col min="3341" max="3341" width="18" style="337" customWidth="1"/>
    <col min="3342" max="3342" width="16.85546875" style="337" customWidth="1"/>
    <col min="3343" max="3569" width="11" style="337"/>
    <col min="3570" max="3570" width="15.28515625" style="337" customWidth="1"/>
    <col min="3571" max="3571" width="61.5703125" style="337" customWidth="1"/>
    <col min="3572" max="3572" width="9.140625" style="337" customWidth="1"/>
    <col min="3573" max="3573" width="8.28515625" style="337" customWidth="1"/>
    <col min="3574" max="3575" width="16.5703125" style="337" customWidth="1"/>
    <col min="3576" max="3577" width="13.85546875" style="337" customWidth="1"/>
    <col min="3578" max="3579" width="19.140625" style="337" customWidth="1"/>
    <col min="3580" max="3580" width="22.7109375" style="337" bestFit="1" customWidth="1"/>
    <col min="3581" max="3581" width="22.7109375" style="337" customWidth="1"/>
    <col min="3582" max="3586" width="0" style="337" hidden="1" customWidth="1"/>
    <col min="3587" max="3587" width="21.28515625" style="337" bestFit="1" customWidth="1"/>
    <col min="3588" max="3588" width="21.28515625" style="337" customWidth="1"/>
    <col min="3589" max="3589" width="25.28515625" style="337" customWidth="1"/>
    <col min="3590" max="3590" width="17.5703125" style="337" customWidth="1"/>
    <col min="3591" max="3591" width="16.7109375" style="337" customWidth="1"/>
    <col min="3592" max="3592" width="30.5703125" style="337" customWidth="1"/>
    <col min="3593" max="3593" width="19.5703125" style="337" customWidth="1"/>
    <col min="3594" max="3594" width="28" style="337" customWidth="1"/>
    <col min="3595" max="3595" width="19" style="337" customWidth="1"/>
    <col min="3596" max="3596" width="21" style="337" customWidth="1"/>
    <col min="3597" max="3597" width="18" style="337" customWidth="1"/>
    <col min="3598" max="3598" width="16.85546875" style="337" customWidth="1"/>
    <col min="3599" max="3825" width="11" style="337"/>
    <col min="3826" max="3826" width="15.28515625" style="337" customWidth="1"/>
    <col min="3827" max="3827" width="61.5703125" style="337" customWidth="1"/>
    <col min="3828" max="3828" width="9.140625" style="337" customWidth="1"/>
    <col min="3829" max="3829" width="8.28515625" style="337" customWidth="1"/>
    <col min="3830" max="3831" width="16.5703125" style="337" customWidth="1"/>
    <col min="3832" max="3833" width="13.85546875" style="337" customWidth="1"/>
    <col min="3834" max="3835" width="19.140625" style="337" customWidth="1"/>
    <col min="3836" max="3836" width="22.7109375" style="337" bestFit="1" customWidth="1"/>
    <col min="3837" max="3837" width="22.7109375" style="337" customWidth="1"/>
    <col min="3838" max="3842" width="0" style="337" hidden="1" customWidth="1"/>
    <col min="3843" max="3843" width="21.28515625" style="337" bestFit="1" customWidth="1"/>
    <col min="3844" max="3844" width="21.28515625" style="337" customWidth="1"/>
    <col min="3845" max="3845" width="25.28515625" style="337" customWidth="1"/>
    <col min="3846" max="3846" width="17.5703125" style="337" customWidth="1"/>
    <col min="3847" max="3847" width="16.7109375" style="337" customWidth="1"/>
    <col min="3848" max="3848" width="30.5703125" style="337" customWidth="1"/>
    <col min="3849" max="3849" width="19.5703125" style="337" customWidth="1"/>
    <col min="3850" max="3850" width="28" style="337" customWidth="1"/>
    <col min="3851" max="3851" width="19" style="337" customWidth="1"/>
    <col min="3852" max="3852" width="21" style="337" customWidth="1"/>
    <col min="3853" max="3853" width="18" style="337" customWidth="1"/>
    <col min="3854" max="3854" width="16.85546875" style="337" customWidth="1"/>
    <col min="3855" max="4081" width="11" style="337"/>
    <col min="4082" max="4082" width="15.28515625" style="337" customWidth="1"/>
    <col min="4083" max="4083" width="61.5703125" style="337" customWidth="1"/>
    <col min="4084" max="4084" width="9.140625" style="337" customWidth="1"/>
    <col min="4085" max="4085" width="8.28515625" style="337" customWidth="1"/>
    <col min="4086" max="4087" width="16.5703125" style="337" customWidth="1"/>
    <col min="4088" max="4089" width="13.85546875" style="337" customWidth="1"/>
    <col min="4090" max="4091" width="19.140625" style="337" customWidth="1"/>
    <col min="4092" max="4092" width="22.7109375" style="337" bestFit="1" customWidth="1"/>
    <col min="4093" max="4093" width="22.7109375" style="337" customWidth="1"/>
    <col min="4094" max="4098" width="0" style="337" hidden="1" customWidth="1"/>
    <col min="4099" max="4099" width="21.28515625" style="337" bestFit="1" customWidth="1"/>
    <col min="4100" max="4100" width="21.28515625" style="337" customWidth="1"/>
    <col min="4101" max="4101" width="25.28515625" style="337" customWidth="1"/>
    <col min="4102" max="4102" width="17.5703125" style="337" customWidth="1"/>
    <col min="4103" max="4103" width="16.7109375" style="337" customWidth="1"/>
    <col min="4104" max="4104" width="30.5703125" style="337" customWidth="1"/>
    <col min="4105" max="4105" width="19.5703125" style="337" customWidth="1"/>
    <col min="4106" max="4106" width="28" style="337" customWidth="1"/>
    <col min="4107" max="4107" width="19" style="337" customWidth="1"/>
    <col min="4108" max="4108" width="21" style="337" customWidth="1"/>
    <col min="4109" max="4109" width="18" style="337" customWidth="1"/>
    <col min="4110" max="4110" width="16.85546875" style="337" customWidth="1"/>
    <col min="4111" max="4337" width="11" style="337"/>
    <col min="4338" max="4338" width="15.28515625" style="337" customWidth="1"/>
    <col min="4339" max="4339" width="61.5703125" style="337" customWidth="1"/>
    <col min="4340" max="4340" width="9.140625" style="337" customWidth="1"/>
    <col min="4341" max="4341" width="8.28515625" style="337" customWidth="1"/>
    <col min="4342" max="4343" width="16.5703125" style="337" customWidth="1"/>
    <col min="4344" max="4345" width="13.85546875" style="337" customWidth="1"/>
    <col min="4346" max="4347" width="19.140625" style="337" customWidth="1"/>
    <col min="4348" max="4348" width="22.7109375" style="337" bestFit="1" customWidth="1"/>
    <col min="4349" max="4349" width="22.7109375" style="337" customWidth="1"/>
    <col min="4350" max="4354" width="0" style="337" hidden="1" customWidth="1"/>
    <col min="4355" max="4355" width="21.28515625" style="337" bestFit="1" customWidth="1"/>
    <col min="4356" max="4356" width="21.28515625" style="337" customWidth="1"/>
    <col min="4357" max="4357" width="25.28515625" style="337" customWidth="1"/>
    <col min="4358" max="4358" width="17.5703125" style="337" customWidth="1"/>
    <col min="4359" max="4359" width="16.7109375" style="337" customWidth="1"/>
    <col min="4360" max="4360" width="30.5703125" style="337" customWidth="1"/>
    <col min="4361" max="4361" width="19.5703125" style="337" customWidth="1"/>
    <col min="4362" max="4362" width="28" style="337" customWidth="1"/>
    <col min="4363" max="4363" width="19" style="337" customWidth="1"/>
    <col min="4364" max="4364" width="21" style="337" customWidth="1"/>
    <col min="4365" max="4365" width="18" style="337" customWidth="1"/>
    <col min="4366" max="4366" width="16.85546875" style="337" customWidth="1"/>
    <col min="4367" max="4593" width="11" style="337"/>
    <col min="4594" max="4594" width="15.28515625" style="337" customWidth="1"/>
    <col min="4595" max="4595" width="61.5703125" style="337" customWidth="1"/>
    <col min="4596" max="4596" width="9.140625" style="337" customWidth="1"/>
    <col min="4597" max="4597" width="8.28515625" style="337" customWidth="1"/>
    <col min="4598" max="4599" width="16.5703125" style="337" customWidth="1"/>
    <col min="4600" max="4601" width="13.85546875" style="337" customWidth="1"/>
    <col min="4602" max="4603" width="19.140625" style="337" customWidth="1"/>
    <col min="4604" max="4604" width="22.7109375" style="337" bestFit="1" customWidth="1"/>
    <col min="4605" max="4605" width="22.7109375" style="337" customWidth="1"/>
    <col min="4606" max="4610" width="0" style="337" hidden="1" customWidth="1"/>
    <col min="4611" max="4611" width="21.28515625" style="337" bestFit="1" customWidth="1"/>
    <col min="4612" max="4612" width="21.28515625" style="337" customWidth="1"/>
    <col min="4613" max="4613" width="25.28515625" style="337" customWidth="1"/>
    <col min="4614" max="4614" width="17.5703125" style="337" customWidth="1"/>
    <col min="4615" max="4615" width="16.7109375" style="337" customWidth="1"/>
    <col min="4616" max="4616" width="30.5703125" style="337" customWidth="1"/>
    <col min="4617" max="4617" width="19.5703125" style="337" customWidth="1"/>
    <col min="4618" max="4618" width="28" style="337" customWidth="1"/>
    <col min="4619" max="4619" width="19" style="337" customWidth="1"/>
    <col min="4620" max="4620" width="21" style="337" customWidth="1"/>
    <col min="4621" max="4621" width="18" style="337" customWidth="1"/>
    <col min="4622" max="4622" width="16.85546875" style="337" customWidth="1"/>
    <col min="4623" max="4849" width="11" style="337"/>
    <col min="4850" max="4850" width="15.28515625" style="337" customWidth="1"/>
    <col min="4851" max="4851" width="61.5703125" style="337" customWidth="1"/>
    <col min="4852" max="4852" width="9.140625" style="337" customWidth="1"/>
    <col min="4853" max="4853" width="8.28515625" style="337" customWidth="1"/>
    <col min="4854" max="4855" width="16.5703125" style="337" customWidth="1"/>
    <col min="4856" max="4857" width="13.85546875" style="337" customWidth="1"/>
    <col min="4858" max="4859" width="19.140625" style="337" customWidth="1"/>
    <col min="4860" max="4860" width="22.7109375" style="337" bestFit="1" customWidth="1"/>
    <col min="4861" max="4861" width="22.7109375" style="337" customWidth="1"/>
    <col min="4862" max="4866" width="0" style="337" hidden="1" customWidth="1"/>
    <col min="4867" max="4867" width="21.28515625" style="337" bestFit="1" customWidth="1"/>
    <col min="4868" max="4868" width="21.28515625" style="337" customWidth="1"/>
    <col min="4869" max="4869" width="25.28515625" style="337" customWidth="1"/>
    <col min="4870" max="4870" width="17.5703125" style="337" customWidth="1"/>
    <col min="4871" max="4871" width="16.7109375" style="337" customWidth="1"/>
    <col min="4872" max="4872" width="30.5703125" style="337" customWidth="1"/>
    <col min="4873" max="4873" width="19.5703125" style="337" customWidth="1"/>
    <col min="4874" max="4874" width="28" style="337" customWidth="1"/>
    <col min="4875" max="4875" width="19" style="337" customWidth="1"/>
    <col min="4876" max="4876" width="21" style="337" customWidth="1"/>
    <col min="4877" max="4877" width="18" style="337" customWidth="1"/>
    <col min="4878" max="4878" width="16.85546875" style="337" customWidth="1"/>
    <col min="4879" max="5105" width="11" style="337"/>
    <col min="5106" max="5106" width="15.28515625" style="337" customWidth="1"/>
    <col min="5107" max="5107" width="61.5703125" style="337" customWidth="1"/>
    <col min="5108" max="5108" width="9.140625" style="337" customWidth="1"/>
    <col min="5109" max="5109" width="8.28515625" style="337" customWidth="1"/>
    <col min="5110" max="5111" width="16.5703125" style="337" customWidth="1"/>
    <col min="5112" max="5113" width="13.85546875" style="337" customWidth="1"/>
    <col min="5114" max="5115" width="19.140625" style="337" customWidth="1"/>
    <col min="5116" max="5116" width="22.7109375" style="337" bestFit="1" customWidth="1"/>
    <col min="5117" max="5117" width="22.7109375" style="337" customWidth="1"/>
    <col min="5118" max="5122" width="0" style="337" hidden="1" customWidth="1"/>
    <col min="5123" max="5123" width="21.28515625" style="337" bestFit="1" customWidth="1"/>
    <col min="5124" max="5124" width="21.28515625" style="337" customWidth="1"/>
    <col min="5125" max="5125" width="25.28515625" style="337" customWidth="1"/>
    <col min="5126" max="5126" width="17.5703125" style="337" customWidth="1"/>
    <col min="5127" max="5127" width="16.7109375" style="337" customWidth="1"/>
    <col min="5128" max="5128" width="30.5703125" style="337" customWidth="1"/>
    <col min="5129" max="5129" width="19.5703125" style="337" customWidth="1"/>
    <col min="5130" max="5130" width="28" style="337" customWidth="1"/>
    <col min="5131" max="5131" width="19" style="337" customWidth="1"/>
    <col min="5132" max="5132" width="21" style="337" customWidth="1"/>
    <col min="5133" max="5133" width="18" style="337" customWidth="1"/>
    <col min="5134" max="5134" width="16.85546875" style="337" customWidth="1"/>
    <col min="5135" max="5361" width="11" style="337"/>
    <col min="5362" max="5362" width="15.28515625" style="337" customWidth="1"/>
    <col min="5363" max="5363" width="61.5703125" style="337" customWidth="1"/>
    <col min="5364" max="5364" width="9.140625" style="337" customWidth="1"/>
    <col min="5365" max="5365" width="8.28515625" style="337" customWidth="1"/>
    <col min="5366" max="5367" width="16.5703125" style="337" customWidth="1"/>
    <col min="5368" max="5369" width="13.85546875" style="337" customWidth="1"/>
    <col min="5370" max="5371" width="19.140625" style="337" customWidth="1"/>
    <col min="5372" max="5372" width="22.7109375" style="337" bestFit="1" customWidth="1"/>
    <col min="5373" max="5373" width="22.7109375" style="337" customWidth="1"/>
    <col min="5374" max="5378" width="0" style="337" hidden="1" customWidth="1"/>
    <col min="5379" max="5379" width="21.28515625" style="337" bestFit="1" customWidth="1"/>
    <col min="5380" max="5380" width="21.28515625" style="337" customWidth="1"/>
    <col min="5381" max="5381" width="25.28515625" style="337" customWidth="1"/>
    <col min="5382" max="5382" width="17.5703125" style="337" customWidth="1"/>
    <col min="5383" max="5383" width="16.7109375" style="337" customWidth="1"/>
    <col min="5384" max="5384" width="30.5703125" style="337" customWidth="1"/>
    <col min="5385" max="5385" width="19.5703125" style="337" customWidth="1"/>
    <col min="5386" max="5386" width="28" style="337" customWidth="1"/>
    <col min="5387" max="5387" width="19" style="337" customWidth="1"/>
    <col min="5388" max="5388" width="21" style="337" customWidth="1"/>
    <col min="5389" max="5389" width="18" style="337" customWidth="1"/>
    <col min="5390" max="5390" width="16.85546875" style="337" customWidth="1"/>
    <col min="5391" max="5617" width="11" style="337"/>
    <col min="5618" max="5618" width="15.28515625" style="337" customWidth="1"/>
    <col min="5619" max="5619" width="61.5703125" style="337" customWidth="1"/>
    <col min="5620" max="5620" width="9.140625" style="337" customWidth="1"/>
    <col min="5621" max="5621" width="8.28515625" style="337" customWidth="1"/>
    <col min="5622" max="5623" width="16.5703125" style="337" customWidth="1"/>
    <col min="5624" max="5625" width="13.85546875" style="337" customWidth="1"/>
    <col min="5626" max="5627" width="19.140625" style="337" customWidth="1"/>
    <col min="5628" max="5628" width="22.7109375" style="337" bestFit="1" customWidth="1"/>
    <col min="5629" max="5629" width="22.7109375" style="337" customWidth="1"/>
    <col min="5630" max="5634" width="0" style="337" hidden="1" customWidth="1"/>
    <col min="5635" max="5635" width="21.28515625" style="337" bestFit="1" customWidth="1"/>
    <col min="5636" max="5636" width="21.28515625" style="337" customWidth="1"/>
    <col min="5637" max="5637" width="25.28515625" style="337" customWidth="1"/>
    <col min="5638" max="5638" width="17.5703125" style="337" customWidth="1"/>
    <col min="5639" max="5639" width="16.7109375" style="337" customWidth="1"/>
    <col min="5640" max="5640" width="30.5703125" style="337" customWidth="1"/>
    <col min="5641" max="5641" width="19.5703125" style="337" customWidth="1"/>
    <col min="5642" max="5642" width="28" style="337" customWidth="1"/>
    <col min="5643" max="5643" width="19" style="337" customWidth="1"/>
    <col min="5644" max="5644" width="21" style="337" customWidth="1"/>
    <col min="5645" max="5645" width="18" style="337" customWidth="1"/>
    <col min="5646" max="5646" width="16.85546875" style="337" customWidth="1"/>
    <col min="5647" max="5873" width="11" style="337"/>
    <col min="5874" max="5874" width="15.28515625" style="337" customWidth="1"/>
    <col min="5875" max="5875" width="61.5703125" style="337" customWidth="1"/>
    <col min="5876" max="5876" width="9.140625" style="337" customWidth="1"/>
    <col min="5877" max="5877" width="8.28515625" style="337" customWidth="1"/>
    <col min="5878" max="5879" width="16.5703125" style="337" customWidth="1"/>
    <col min="5880" max="5881" width="13.85546875" style="337" customWidth="1"/>
    <col min="5882" max="5883" width="19.140625" style="337" customWidth="1"/>
    <col min="5884" max="5884" width="22.7109375" style="337" bestFit="1" customWidth="1"/>
    <col min="5885" max="5885" width="22.7109375" style="337" customWidth="1"/>
    <col min="5886" max="5890" width="0" style="337" hidden="1" customWidth="1"/>
    <col min="5891" max="5891" width="21.28515625" style="337" bestFit="1" customWidth="1"/>
    <col min="5892" max="5892" width="21.28515625" style="337" customWidth="1"/>
    <col min="5893" max="5893" width="25.28515625" style="337" customWidth="1"/>
    <col min="5894" max="5894" width="17.5703125" style="337" customWidth="1"/>
    <col min="5895" max="5895" width="16.7109375" style="337" customWidth="1"/>
    <col min="5896" max="5896" width="30.5703125" style="337" customWidth="1"/>
    <col min="5897" max="5897" width="19.5703125" style="337" customWidth="1"/>
    <col min="5898" max="5898" width="28" style="337" customWidth="1"/>
    <col min="5899" max="5899" width="19" style="337" customWidth="1"/>
    <col min="5900" max="5900" width="21" style="337" customWidth="1"/>
    <col min="5901" max="5901" width="18" style="337" customWidth="1"/>
    <col min="5902" max="5902" width="16.85546875" style="337" customWidth="1"/>
    <col min="5903" max="6129" width="11" style="337"/>
    <col min="6130" max="6130" width="15.28515625" style="337" customWidth="1"/>
    <col min="6131" max="6131" width="61.5703125" style="337" customWidth="1"/>
    <col min="6132" max="6132" width="9.140625" style="337" customWidth="1"/>
    <col min="6133" max="6133" width="8.28515625" style="337" customWidth="1"/>
    <col min="6134" max="6135" width="16.5703125" style="337" customWidth="1"/>
    <col min="6136" max="6137" width="13.85546875" style="337" customWidth="1"/>
    <col min="6138" max="6139" width="19.140625" style="337" customWidth="1"/>
    <col min="6140" max="6140" width="22.7109375" style="337" bestFit="1" customWidth="1"/>
    <col min="6141" max="6141" width="22.7109375" style="337" customWidth="1"/>
    <col min="6142" max="6146" width="0" style="337" hidden="1" customWidth="1"/>
    <col min="6147" max="6147" width="21.28515625" style="337" bestFit="1" customWidth="1"/>
    <col min="6148" max="6148" width="21.28515625" style="337" customWidth="1"/>
    <col min="6149" max="6149" width="25.28515625" style="337" customWidth="1"/>
    <col min="6150" max="6150" width="17.5703125" style="337" customWidth="1"/>
    <col min="6151" max="6151" width="16.7109375" style="337" customWidth="1"/>
    <col min="6152" max="6152" width="30.5703125" style="337" customWidth="1"/>
    <col min="6153" max="6153" width="19.5703125" style="337" customWidth="1"/>
    <col min="6154" max="6154" width="28" style="337" customWidth="1"/>
    <col min="6155" max="6155" width="19" style="337" customWidth="1"/>
    <col min="6156" max="6156" width="21" style="337" customWidth="1"/>
    <col min="6157" max="6157" width="18" style="337" customWidth="1"/>
    <col min="6158" max="6158" width="16.85546875" style="337" customWidth="1"/>
    <col min="6159" max="6385" width="11" style="337"/>
    <col min="6386" max="6386" width="15.28515625" style="337" customWidth="1"/>
    <col min="6387" max="6387" width="61.5703125" style="337" customWidth="1"/>
    <col min="6388" max="6388" width="9.140625" style="337" customWidth="1"/>
    <col min="6389" max="6389" width="8.28515625" style="337" customWidth="1"/>
    <col min="6390" max="6391" width="16.5703125" style="337" customWidth="1"/>
    <col min="6392" max="6393" width="13.85546875" style="337" customWidth="1"/>
    <col min="6394" max="6395" width="19.140625" style="337" customWidth="1"/>
    <col min="6396" max="6396" width="22.7109375" style="337" bestFit="1" customWidth="1"/>
    <col min="6397" max="6397" width="22.7109375" style="337" customWidth="1"/>
    <col min="6398" max="6402" width="0" style="337" hidden="1" customWidth="1"/>
    <col min="6403" max="6403" width="21.28515625" style="337" bestFit="1" customWidth="1"/>
    <col min="6404" max="6404" width="21.28515625" style="337" customWidth="1"/>
    <col min="6405" max="6405" width="25.28515625" style="337" customWidth="1"/>
    <col min="6406" max="6406" width="17.5703125" style="337" customWidth="1"/>
    <col min="6407" max="6407" width="16.7109375" style="337" customWidth="1"/>
    <col min="6408" max="6408" width="30.5703125" style="337" customWidth="1"/>
    <col min="6409" max="6409" width="19.5703125" style="337" customWidth="1"/>
    <col min="6410" max="6410" width="28" style="337" customWidth="1"/>
    <col min="6411" max="6411" width="19" style="337" customWidth="1"/>
    <col min="6412" max="6412" width="21" style="337" customWidth="1"/>
    <col min="6413" max="6413" width="18" style="337" customWidth="1"/>
    <col min="6414" max="6414" width="16.85546875" style="337" customWidth="1"/>
    <col min="6415" max="6641" width="11" style="337"/>
    <col min="6642" max="6642" width="15.28515625" style="337" customWidth="1"/>
    <col min="6643" max="6643" width="61.5703125" style="337" customWidth="1"/>
    <col min="6644" max="6644" width="9.140625" style="337" customWidth="1"/>
    <col min="6645" max="6645" width="8.28515625" style="337" customWidth="1"/>
    <col min="6646" max="6647" width="16.5703125" style="337" customWidth="1"/>
    <col min="6648" max="6649" width="13.85546875" style="337" customWidth="1"/>
    <col min="6650" max="6651" width="19.140625" style="337" customWidth="1"/>
    <col min="6652" max="6652" width="22.7109375" style="337" bestFit="1" customWidth="1"/>
    <col min="6653" max="6653" width="22.7109375" style="337" customWidth="1"/>
    <col min="6654" max="6658" width="0" style="337" hidden="1" customWidth="1"/>
    <col min="6659" max="6659" width="21.28515625" style="337" bestFit="1" customWidth="1"/>
    <col min="6660" max="6660" width="21.28515625" style="337" customWidth="1"/>
    <col min="6661" max="6661" width="25.28515625" style="337" customWidth="1"/>
    <col min="6662" max="6662" width="17.5703125" style="337" customWidth="1"/>
    <col min="6663" max="6663" width="16.7109375" style="337" customWidth="1"/>
    <col min="6664" max="6664" width="30.5703125" style="337" customWidth="1"/>
    <col min="6665" max="6665" width="19.5703125" style="337" customWidth="1"/>
    <col min="6666" max="6666" width="28" style="337" customWidth="1"/>
    <col min="6667" max="6667" width="19" style="337" customWidth="1"/>
    <col min="6668" max="6668" width="21" style="337" customWidth="1"/>
    <col min="6669" max="6669" width="18" style="337" customWidth="1"/>
    <col min="6670" max="6670" width="16.85546875" style="337" customWidth="1"/>
    <col min="6671" max="6897" width="11" style="337"/>
    <col min="6898" max="6898" width="15.28515625" style="337" customWidth="1"/>
    <col min="6899" max="6899" width="61.5703125" style="337" customWidth="1"/>
    <col min="6900" max="6900" width="9.140625" style="337" customWidth="1"/>
    <col min="6901" max="6901" width="8.28515625" style="337" customWidth="1"/>
    <col min="6902" max="6903" width="16.5703125" style="337" customWidth="1"/>
    <col min="6904" max="6905" width="13.85546875" style="337" customWidth="1"/>
    <col min="6906" max="6907" width="19.140625" style="337" customWidth="1"/>
    <col min="6908" max="6908" width="22.7109375" style="337" bestFit="1" customWidth="1"/>
    <col min="6909" max="6909" width="22.7109375" style="337" customWidth="1"/>
    <col min="6910" max="6914" width="0" style="337" hidden="1" customWidth="1"/>
    <col min="6915" max="6915" width="21.28515625" style="337" bestFit="1" customWidth="1"/>
    <col min="6916" max="6916" width="21.28515625" style="337" customWidth="1"/>
    <col min="6917" max="6917" width="25.28515625" style="337" customWidth="1"/>
    <col min="6918" max="6918" width="17.5703125" style="337" customWidth="1"/>
    <col min="6919" max="6919" width="16.7109375" style="337" customWidth="1"/>
    <col min="6920" max="6920" width="30.5703125" style="337" customWidth="1"/>
    <col min="6921" max="6921" width="19.5703125" style="337" customWidth="1"/>
    <col min="6922" max="6922" width="28" style="337" customWidth="1"/>
    <col min="6923" max="6923" width="19" style="337" customWidth="1"/>
    <col min="6924" max="6924" width="21" style="337" customWidth="1"/>
    <col min="6925" max="6925" width="18" style="337" customWidth="1"/>
    <col min="6926" max="6926" width="16.85546875" style="337" customWidth="1"/>
    <col min="6927" max="7153" width="11" style="337"/>
    <col min="7154" max="7154" width="15.28515625" style="337" customWidth="1"/>
    <col min="7155" max="7155" width="61.5703125" style="337" customWidth="1"/>
    <col min="7156" max="7156" width="9.140625" style="337" customWidth="1"/>
    <col min="7157" max="7157" width="8.28515625" style="337" customWidth="1"/>
    <col min="7158" max="7159" width="16.5703125" style="337" customWidth="1"/>
    <col min="7160" max="7161" width="13.85546875" style="337" customWidth="1"/>
    <col min="7162" max="7163" width="19.140625" style="337" customWidth="1"/>
    <col min="7164" max="7164" width="22.7109375" style="337" bestFit="1" customWidth="1"/>
    <col min="7165" max="7165" width="22.7109375" style="337" customWidth="1"/>
    <col min="7166" max="7170" width="0" style="337" hidden="1" customWidth="1"/>
    <col min="7171" max="7171" width="21.28515625" style="337" bestFit="1" customWidth="1"/>
    <col min="7172" max="7172" width="21.28515625" style="337" customWidth="1"/>
    <col min="7173" max="7173" width="25.28515625" style="337" customWidth="1"/>
    <col min="7174" max="7174" width="17.5703125" style="337" customWidth="1"/>
    <col min="7175" max="7175" width="16.7109375" style="337" customWidth="1"/>
    <col min="7176" max="7176" width="30.5703125" style="337" customWidth="1"/>
    <col min="7177" max="7177" width="19.5703125" style="337" customWidth="1"/>
    <col min="7178" max="7178" width="28" style="337" customWidth="1"/>
    <col min="7179" max="7179" width="19" style="337" customWidth="1"/>
    <col min="7180" max="7180" width="21" style="337" customWidth="1"/>
    <col min="7181" max="7181" width="18" style="337" customWidth="1"/>
    <col min="7182" max="7182" width="16.85546875" style="337" customWidth="1"/>
    <col min="7183" max="7409" width="11" style="337"/>
    <col min="7410" max="7410" width="15.28515625" style="337" customWidth="1"/>
    <col min="7411" max="7411" width="61.5703125" style="337" customWidth="1"/>
    <col min="7412" max="7412" width="9.140625" style="337" customWidth="1"/>
    <col min="7413" max="7413" width="8.28515625" style="337" customWidth="1"/>
    <col min="7414" max="7415" width="16.5703125" style="337" customWidth="1"/>
    <col min="7416" max="7417" width="13.85546875" style="337" customWidth="1"/>
    <col min="7418" max="7419" width="19.140625" style="337" customWidth="1"/>
    <col min="7420" max="7420" width="22.7109375" style="337" bestFit="1" customWidth="1"/>
    <col min="7421" max="7421" width="22.7109375" style="337" customWidth="1"/>
    <col min="7422" max="7426" width="0" style="337" hidden="1" customWidth="1"/>
    <col min="7427" max="7427" width="21.28515625" style="337" bestFit="1" customWidth="1"/>
    <col min="7428" max="7428" width="21.28515625" style="337" customWidth="1"/>
    <col min="7429" max="7429" width="25.28515625" style="337" customWidth="1"/>
    <col min="7430" max="7430" width="17.5703125" style="337" customWidth="1"/>
    <col min="7431" max="7431" width="16.7109375" style="337" customWidth="1"/>
    <col min="7432" max="7432" width="30.5703125" style="337" customWidth="1"/>
    <col min="7433" max="7433" width="19.5703125" style="337" customWidth="1"/>
    <col min="7434" max="7434" width="28" style="337" customWidth="1"/>
    <col min="7435" max="7435" width="19" style="337" customWidth="1"/>
    <col min="7436" max="7436" width="21" style="337" customWidth="1"/>
    <col min="7437" max="7437" width="18" style="337" customWidth="1"/>
    <col min="7438" max="7438" width="16.85546875" style="337" customWidth="1"/>
    <col min="7439" max="7665" width="11" style="337"/>
    <col min="7666" max="7666" width="15.28515625" style="337" customWidth="1"/>
    <col min="7667" max="7667" width="61.5703125" style="337" customWidth="1"/>
    <col min="7668" max="7668" width="9.140625" style="337" customWidth="1"/>
    <col min="7669" max="7669" width="8.28515625" style="337" customWidth="1"/>
    <col min="7670" max="7671" width="16.5703125" style="337" customWidth="1"/>
    <col min="7672" max="7673" width="13.85546875" style="337" customWidth="1"/>
    <col min="7674" max="7675" width="19.140625" style="337" customWidth="1"/>
    <col min="7676" max="7676" width="22.7109375" style="337" bestFit="1" customWidth="1"/>
    <col min="7677" max="7677" width="22.7109375" style="337" customWidth="1"/>
    <col min="7678" max="7682" width="0" style="337" hidden="1" customWidth="1"/>
    <col min="7683" max="7683" width="21.28515625" style="337" bestFit="1" customWidth="1"/>
    <col min="7684" max="7684" width="21.28515625" style="337" customWidth="1"/>
    <col min="7685" max="7685" width="25.28515625" style="337" customWidth="1"/>
    <col min="7686" max="7686" width="17.5703125" style="337" customWidth="1"/>
    <col min="7687" max="7687" width="16.7109375" style="337" customWidth="1"/>
    <col min="7688" max="7688" width="30.5703125" style="337" customWidth="1"/>
    <col min="7689" max="7689" width="19.5703125" style="337" customWidth="1"/>
    <col min="7690" max="7690" width="28" style="337" customWidth="1"/>
    <col min="7691" max="7691" width="19" style="337" customWidth="1"/>
    <col min="7692" max="7692" width="21" style="337" customWidth="1"/>
    <col min="7693" max="7693" width="18" style="337" customWidth="1"/>
    <col min="7694" max="7694" width="16.85546875" style="337" customWidth="1"/>
    <col min="7695" max="7921" width="11" style="337"/>
    <col min="7922" max="7922" width="15.28515625" style="337" customWidth="1"/>
    <col min="7923" max="7923" width="61.5703125" style="337" customWidth="1"/>
    <col min="7924" max="7924" width="9.140625" style="337" customWidth="1"/>
    <col min="7925" max="7925" width="8.28515625" style="337" customWidth="1"/>
    <col min="7926" max="7927" width="16.5703125" style="337" customWidth="1"/>
    <col min="7928" max="7929" width="13.85546875" style="337" customWidth="1"/>
    <col min="7930" max="7931" width="19.140625" style="337" customWidth="1"/>
    <col min="7932" max="7932" width="22.7109375" style="337" bestFit="1" customWidth="1"/>
    <col min="7933" max="7933" width="22.7109375" style="337" customWidth="1"/>
    <col min="7934" max="7938" width="0" style="337" hidden="1" customWidth="1"/>
    <col min="7939" max="7939" width="21.28515625" style="337" bestFit="1" customWidth="1"/>
    <col min="7940" max="7940" width="21.28515625" style="337" customWidth="1"/>
    <col min="7941" max="7941" width="25.28515625" style="337" customWidth="1"/>
    <col min="7942" max="7942" width="17.5703125" style="337" customWidth="1"/>
    <col min="7943" max="7943" width="16.7109375" style="337" customWidth="1"/>
    <col min="7944" max="7944" width="30.5703125" style="337" customWidth="1"/>
    <col min="7945" max="7945" width="19.5703125" style="337" customWidth="1"/>
    <col min="7946" max="7946" width="28" style="337" customWidth="1"/>
    <col min="7947" max="7947" width="19" style="337" customWidth="1"/>
    <col min="7948" max="7948" width="21" style="337" customWidth="1"/>
    <col min="7949" max="7949" width="18" style="337" customWidth="1"/>
    <col min="7950" max="7950" width="16.85546875" style="337" customWidth="1"/>
    <col min="7951" max="8177" width="11" style="337"/>
    <col min="8178" max="8178" width="15.28515625" style="337" customWidth="1"/>
    <col min="8179" max="8179" width="61.5703125" style="337" customWidth="1"/>
    <col min="8180" max="8180" width="9.140625" style="337" customWidth="1"/>
    <col min="8181" max="8181" width="8.28515625" style="337" customWidth="1"/>
    <col min="8182" max="8183" width="16.5703125" style="337" customWidth="1"/>
    <col min="8184" max="8185" width="13.85546875" style="337" customWidth="1"/>
    <col min="8186" max="8187" width="19.140625" style="337" customWidth="1"/>
    <col min="8188" max="8188" width="22.7109375" style="337" bestFit="1" customWidth="1"/>
    <col min="8189" max="8189" width="22.7109375" style="337" customWidth="1"/>
    <col min="8190" max="8194" width="0" style="337" hidden="1" customWidth="1"/>
    <col min="8195" max="8195" width="21.28515625" style="337" bestFit="1" customWidth="1"/>
    <col min="8196" max="8196" width="21.28515625" style="337" customWidth="1"/>
    <col min="8197" max="8197" width="25.28515625" style="337" customWidth="1"/>
    <col min="8198" max="8198" width="17.5703125" style="337" customWidth="1"/>
    <col min="8199" max="8199" width="16.7109375" style="337" customWidth="1"/>
    <col min="8200" max="8200" width="30.5703125" style="337" customWidth="1"/>
    <col min="8201" max="8201" width="19.5703125" style="337" customWidth="1"/>
    <col min="8202" max="8202" width="28" style="337" customWidth="1"/>
    <col min="8203" max="8203" width="19" style="337" customWidth="1"/>
    <col min="8204" max="8204" width="21" style="337" customWidth="1"/>
    <col min="8205" max="8205" width="18" style="337" customWidth="1"/>
    <col min="8206" max="8206" width="16.85546875" style="337" customWidth="1"/>
    <col min="8207" max="8433" width="11" style="337"/>
    <col min="8434" max="8434" width="15.28515625" style="337" customWidth="1"/>
    <col min="8435" max="8435" width="61.5703125" style="337" customWidth="1"/>
    <col min="8436" max="8436" width="9.140625" style="337" customWidth="1"/>
    <col min="8437" max="8437" width="8.28515625" style="337" customWidth="1"/>
    <col min="8438" max="8439" width="16.5703125" style="337" customWidth="1"/>
    <col min="8440" max="8441" width="13.85546875" style="337" customWidth="1"/>
    <col min="8442" max="8443" width="19.140625" style="337" customWidth="1"/>
    <col min="8444" max="8444" width="22.7109375" style="337" bestFit="1" customWidth="1"/>
    <col min="8445" max="8445" width="22.7109375" style="337" customWidth="1"/>
    <col min="8446" max="8450" width="0" style="337" hidden="1" customWidth="1"/>
    <col min="8451" max="8451" width="21.28515625" style="337" bestFit="1" customWidth="1"/>
    <col min="8452" max="8452" width="21.28515625" style="337" customWidth="1"/>
    <col min="8453" max="8453" width="25.28515625" style="337" customWidth="1"/>
    <col min="8454" max="8454" width="17.5703125" style="337" customWidth="1"/>
    <col min="8455" max="8455" width="16.7109375" style="337" customWidth="1"/>
    <col min="8456" max="8456" width="30.5703125" style="337" customWidth="1"/>
    <col min="8457" max="8457" width="19.5703125" style="337" customWidth="1"/>
    <col min="8458" max="8458" width="28" style="337" customWidth="1"/>
    <col min="8459" max="8459" width="19" style="337" customWidth="1"/>
    <col min="8460" max="8460" width="21" style="337" customWidth="1"/>
    <col min="8461" max="8461" width="18" style="337" customWidth="1"/>
    <col min="8462" max="8462" width="16.85546875" style="337" customWidth="1"/>
    <col min="8463" max="8689" width="11" style="337"/>
    <col min="8690" max="8690" width="15.28515625" style="337" customWidth="1"/>
    <col min="8691" max="8691" width="61.5703125" style="337" customWidth="1"/>
    <col min="8692" max="8692" width="9.140625" style="337" customWidth="1"/>
    <col min="8693" max="8693" width="8.28515625" style="337" customWidth="1"/>
    <col min="8694" max="8695" width="16.5703125" style="337" customWidth="1"/>
    <col min="8696" max="8697" width="13.85546875" style="337" customWidth="1"/>
    <col min="8698" max="8699" width="19.140625" style="337" customWidth="1"/>
    <col min="8700" max="8700" width="22.7109375" style="337" bestFit="1" customWidth="1"/>
    <col min="8701" max="8701" width="22.7109375" style="337" customWidth="1"/>
    <col min="8702" max="8706" width="0" style="337" hidden="1" customWidth="1"/>
    <col min="8707" max="8707" width="21.28515625" style="337" bestFit="1" customWidth="1"/>
    <col min="8708" max="8708" width="21.28515625" style="337" customWidth="1"/>
    <col min="8709" max="8709" width="25.28515625" style="337" customWidth="1"/>
    <col min="8710" max="8710" width="17.5703125" style="337" customWidth="1"/>
    <col min="8711" max="8711" width="16.7109375" style="337" customWidth="1"/>
    <col min="8712" max="8712" width="30.5703125" style="337" customWidth="1"/>
    <col min="8713" max="8713" width="19.5703125" style="337" customWidth="1"/>
    <col min="8714" max="8714" width="28" style="337" customWidth="1"/>
    <col min="8715" max="8715" width="19" style="337" customWidth="1"/>
    <col min="8716" max="8716" width="21" style="337" customWidth="1"/>
    <col min="8717" max="8717" width="18" style="337" customWidth="1"/>
    <col min="8718" max="8718" width="16.85546875" style="337" customWidth="1"/>
    <col min="8719" max="8945" width="11" style="337"/>
    <col min="8946" max="8946" width="15.28515625" style="337" customWidth="1"/>
    <col min="8947" max="8947" width="61.5703125" style="337" customWidth="1"/>
    <col min="8948" max="8948" width="9.140625" style="337" customWidth="1"/>
    <col min="8949" max="8949" width="8.28515625" style="337" customWidth="1"/>
    <col min="8950" max="8951" width="16.5703125" style="337" customWidth="1"/>
    <col min="8952" max="8953" width="13.85546875" style="337" customWidth="1"/>
    <col min="8954" max="8955" width="19.140625" style="337" customWidth="1"/>
    <col min="8956" max="8956" width="22.7109375" style="337" bestFit="1" customWidth="1"/>
    <col min="8957" max="8957" width="22.7109375" style="337" customWidth="1"/>
    <col min="8958" max="8962" width="0" style="337" hidden="1" customWidth="1"/>
    <col min="8963" max="8963" width="21.28515625" style="337" bestFit="1" customWidth="1"/>
    <col min="8964" max="8964" width="21.28515625" style="337" customWidth="1"/>
    <col min="8965" max="8965" width="25.28515625" style="337" customWidth="1"/>
    <col min="8966" max="8966" width="17.5703125" style="337" customWidth="1"/>
    <col min="8967" max="8967" width="16.7109375" style="337" customWidth="1"/>
    <col min="8968" max="8968" width="30.5703125" style="337" customWidth="1"/>
    <col min="8969" max="8969" width="19.5703125" style="337" customWidth="1"/>
    <col min="8970" max="8970" width="28" style="337" customWidth="1"/>
    <col min="8971" max="8971" width="19" style="337" customWidth="1"/>
    <col min="8972" max="8972" width="21" style="337" customWidth="1"/>
    <col min="8973" max="8973" width="18" style="337" customWidth="1"/>
    <col min="8974" max="8974" width="16.85546875" style="337" customWidth="1"/>
    <col min="8975" max="9201" width="11" style="337"/>
    <col min="9202" max="9202" width="15.28515625" style="337" customWidth="1"/>
    <col min="9203" max="9203" width="61.5703125" style="337" customWidth="1"/>
    <col min="9204" max="9204" width="9.140625" style="337" customWidth="1"/>
    <col min="9205" max="9205" width="8.28515625" style="337" customWidth="1"/>
    <col min="9206" max="9207" width="16.5703125" style="337" customWidth="1"/>
    <col min="9208" max="9209" width="13.85546875" style="337" customWidth="1"/>
    <col min="9210" max="9211" width="19.140625" style="337" customWidth="1"/>
    <col min="9212" max="9212" width="22.7109375" style="337" bestFit="1" customWidth="1"/>
    <col min="9213" max="9213" width="22.7109375" style="337" customWidth="1"/>
    <col min="9214" max="9218" width="0" style="337" hidden="1" customWidth="1"/>
    <col min="9219" max="9219" width="21.28515625" style="337" bestFit="1" customWidth="1"/>
    <col min="9220" max="9220" width="21.28515625" style="337" customWidth="1"/>
    <col min="9221" max="9221" width="25.28515625" style="337" customWidth="1"/>
    <col min="9222" max="9222" width="17.5703125" style="337" customWidth="1"/>
    <col min="9223" max="9223" width="16.7109375" style="337" customWidth="1"/>
    <col min="9224" max="9224" width="30.5703125" style="337" customWidth="1"/>
    <col min="9225" max="9225" width="19.5703125" style="337" customWidth="1"/>
    <col min="9226" max="9226" width="28" style="337" customWidth="1"/>
    <col min="9227" max="9227" width="19" style="337" customWidth="1"/>
    <col min="9228" max="9228" width="21" style="337" customWidth="1"/>
    <col min="9229" max="9229" width="18" style="337" customWidth="1"/>
    <col min="9230" max="9230" width="16.85546875" style="337" customWidth="1"/>
    <col min="9231" max="9457" width="11" style="337"/>
    <col min="9458" max="9458" width="15.28515625" style="337" customWidth="1"/>
    <col min="9459" max="9459" width="61.5703125" style="337" customWidth="1"/>
    <col min="9460" max="9460" width="9.140625" style="337" customWidth="1"/>
    <col min="9461" max="9461" width="8.28515625" style="337" customWidth="1"/>
    <col min="9462" max="9463" width="16.5703125" style="337" customWidth="1"/>
    <col min="9464" max="9465" width="13.85546875" style="337" customWidth="1"/>
    <col min="9466" max="9467" width="19.140625" style="337" customWidth="1"/>
    <col min="9468" max="9468" width="22.7109375" style="337" bestFit="1" customWidth="1"/>
    <col min="9469" max="9469" width="22.7109375" style="337" customWidth="1"/>
    <col min="9470" max="9474" width="0" style="337" hidden="1" customWidth="1"/>
    <col min="9475" max="9475" width="21.28515625" style="337" bestFit="1" customWidth="1"/>
    <col min="9476" max="9476" width="21.28515625" style="337" customWidth="1"/>
    <col min="9477" max="9477" width="25.28515625" style="337" customWidth="1"/>
    <col min="9478" max="9478" width="17.5703125" style="337" customWidth="1"/>
    <col min="9479" max="9479" width="16.7109375" style="337" customWidth="1"/>
    <col min="9480" max="9480" width="30.5703125" style="337" customWidth="1"/>
    <col min="9481" max="9481" width="19.5703125" style="337" customWidth="1"/>
    <col min="9482" max="9482" width="28" style="337" customWidth="1"/>
    <col min="9483" max="9483" width="19" style="337" customWidth="1"/>
    <col min="9484" max="9484" width="21" style="337" customWidth="1"/>
    <col min="9485" max="9485" width="18" style="337" customWidth="1"/>
    <col min="9486" max="9486" width="16.85546875" style="337" customWidth="1"/>
    <col min="9487" max="9713" width="11" style="337"/>
    <col min="9714" max="9714" width="15.28515625" style="337" customWidth="1"/>
    <col min="9715" max="9715" width="61.5703125" style="337" customWidth="1"/>
    <col min="9716" max="9716" width="9.140625" style="337" customWidth="1"/>
    <col min="9717" max="9717" width="8.28515625" style="337" customWidth="1"/>
    <col min="9718" max="9719" width="16.5703125" style="337" customWidth="1"/>
    <col min="9720" max="9721" width="13.85546875" style="337" customWidth="1"/>
    <col min="9722" max="9723" width="19.140625" style="337" customWidth="1"/>
    <col min="9724" max="9724" width="22.7109375" style="337" bestFit="1" customWidth="1"/>
    <col min="9725" max="9725" width="22.7109375" style="337" customWidth="1"/>
    <col min="9726" max="9730" width="0" style="337" hidden="1" customWidth="1"/>
    <col min="9731" max="9731" width="21.28515625" style="337" bestFit="1" customWidth="1"/>
    <col min="9732" max="9732" width="21.28515625" style="337" customWidth="1"/>
    <col min="9733" max="9733" width="25.28515625" style="337" customWidth="1"/>
    <col min="9734" max="9734" width="17.5703125" style="337" customWidth="1"/>
    <col min="9735" max="9735" width="16.7109375" style="337" customWidth="1"/>
    <col min="9736" max="9736" width="30.5703125" style="337" customWidth="1"/>
    <col min="9737" max="9737" width="19.5703125" style="337" customWidth="1"/>
    <col min="9738" max="9738" width="28" style="337" customWidth="1"/>
    <col min="9739" max="9739" width="19" style="337" customWidth="1"/>
    <col min="9740" max="9740" width="21" style="337" customWidth="1"/>
    <col min="9741" max="9741" width="18" style="337" customWidth="1"/>
    <col min="9742" max="9742" width="16.85546875" style="337" customWidth="1"/>
    <col min="9743" max="9969" width="11" style="337"/>
    <col min="9970" max="9970" width="15.28515625" style="337" customWidth="1"/>
    <col min="9971" max="9971" width="61.5703125" style="337" customWidth="1"/>
    <col min="9972" max="9972" width="9.140625" style="337" customWidth="1"/>
    <col min="9973" max="9973" width="8.28515625" style="337" customWidth="1"/>
    <col min="9974" max="9975" width="16.5703125" style="337" customWidth="1"/>
    <col min="9976" max="9977" width="13.85546875" style="337" customWidth="1"/>
    <col min="9978" max="9979" width="19.140625" style="337" customWidth="1"/>
    <col min="9980" max="9980" width="22.7109375" style="337" bestFit="1" customWidth="1"/>
    <col min="9981" max="9981" width="22.7109375" style="337" customWidth="1"/>
    <col min="9982" max="9986" width="0" style="337" hidden="1" customWidth="1"/>
    <col min="9987" max="9987" width="21.28515625" style="337" bestFit="1" customWidth="1"/>
    <col min="9988" max="9988" width="21.28515625" style="337" customWidth="1"/>
    <col min="9989" max="9989" width="25.28515625" style="337" customWidth="1"/>
    <col min="9990" max="9990" width="17.5703125" style="337" customWidth="1"/>
    <col min="9991" max="9991" width="16.7109375" style="337" customWidth="1"/>
    <col min="9992" max="9992" width="30.5703125" style="337" customWidth="1"/>
    <col min="9993" max="9993" width="19.5703125" style="337" customWidth="1"/>
    <col min="9994" max="9994" width="28" style="337" customWidth="1"/>
    <col min="9995" max="9995" width="19" style="337" customWidth="1"/>
    <col min="9996" max="9996" width="21" style="337" customWidth="1"/>
    <col min="9997" max="9997" width="18" style="337" customWidth="1"/>
    <col min="9998" max="9998" width="16.85546875" style="337" customWidth="1"/>
    <col min="9999" max="10225" width="11" style="337"/>
    <col min="10226" max="10226" width="15.28515625" style="337" customWidth="1"/>
    <col min="10227" max="10227" width="61.5703125" style="337" customWidth="1"/>
    <col min="10228" max="10228" width="9.140625" style="337" customWidth="1"/>
    <col min="10229" max="10229" width="8.28515625" style="337" customWidth="1"/>
    <col min="10230" max="10231" width="16.5703125" style="337" customWidth="1"/>
    <col min="10232" max="10233" width="13.85546875" style="337" customWidth="1"/>
    <col min="10234" max="10235" width="19.140625" style="337" customWidth="1"/>
    <col min="10236" max="10236" width="22.7109375" style="337" bestFit="1" customWidth="1"/>
    <col min="10237" max="10237" width="22.7109375" style="337" customWidth="1"/>
    <col min="10238" max="10242" width="0" style="337" hidden="1" customWidth="1"/>
    <col min="10243" max="10243" width="21.28515625" style="337" bestFit="1" customWidth="1"/>
    <col min="10244" max="10244" width="21.28515625" style="337" customWidth="1"/>
    <col min="10245" max="10245" width="25.28515625" style="337" customWidth="1"/>
    <col min="10246" max="10246" width="17.5703125" style="337" customWidth="1"/>
    <col min="10247" max="10247" width="16.7109375" style="337" customWidth="1"/>
    <col min="10248" max="10248" width="30.5703125" style="337" customWidth="1"/>
    <col min="10249" max="10249" width="19.5703125" style="337" customWidth="1"/>
    <col min="10250" max="10250" width="28" style="337" customWidth="1"/>
    <col min="10251" max="10251" width="19" style="337" customWidth="1"/>
    <col min="10252" max="10252" width="21" style="337" customWidth="1"/>
    <col min="10253" max="10253" width="18" style="337" customWidth="1"/>
    <col min="10254" max="10254" width="16.85546875" style="337" customWidth="1"/>
    <col min="10255" max="10481" width="11" style="337"/>
    <col min="10482" max="10482" width="15.28515625" style="337" customWidth="1"/>
    <col min="10483" max="10483" width="61.5703125" style="337" customWidth="1"/>
    <col min="10484" max="10484" width="9.140625" style="337" customWidth="1"/>
    <col min="10485" max="10485" width="8.28515625" style="337" customWidth="1"/>
    <col min="10486" max="10487" width="16.5703125" style="337" customWidth="1"/>
    <col min="10488" max="10489" width="13.85546875" style="337" customWidth="1"/>
    <col min="10490" max="10491" width="19.140625" style="337" customWidth="1"/>
    <col min="10492" max="10492" width="22.7109375" style="337" bestFit="1" customWidth="1"/>
    <col min="10493" max="10493" width="22.7109375" style="337" customWidth="1"/>
    <col min="10494" max="10498" width="0" style="337" hidden="1" customWidth="1"/>
    <col min="10499" max="10499" width="21.28515625" style="337" bestFit="1" customWidth="1"/>
    <col min="10500" max="10500" width="21.28515625" style="337" customWidth="1"/>
    <col min="10501" max="10501" width="25.28515625" style="337" customWidth="1"/>
    <col min="10502" max="10502" width="17.5703125" style="337" customWidth="1"/>
    <col min="10503" max="10503" width="16.7109375" style="337" customWidth="1"/>
    <col min="10504" max="10504" width="30.5703125" style="337" customWidth="1"/>
    <col min="10505" max="10505" width="19.5703125" style="337" customWidth="1"/>
    <col min="10506" max="10506" width="28" style="337" customWidth="1"/>
    <col min="10507" max="10507" width="19" style="337" customWidth="1"/>
    <col min="10508" max="10508" width="21" style="337" customWidth="1"/>
    <col min="10509" max="10509" width="18" style="337" customWidth="1"/>
    <col min="10510" max="10510" width="16.85546875" style="337" customWidth="1"/>
    <col min="10511" max="10737" width="11" style="337"/>
    <col min="10738" max="10738" width="15.28515625" style="337" customWidth="1"/>
    <col min="10739" max="10739" width="61.5703125" style="337" customWidth="1"/>
    <col min="10740" max="10740" width="9.140625" style="337" customWidth="1"/>
    <col min="10741" max="10741" width="8.28515625" style="337" customWidth="1"/>
    <col min="10742" max="10743" width="16.5703125" style="337" customWidth="1"/>
    <col min="10744" max="10745" width="13.85546875" style="337" customWidth="1"/>
    <col min="10746" max="10747" width="19.140625" style="337" customWidth="1"/>
    <col min="10748" max="10748" width="22.7109375" style="337" bestFit="1" customWidth="1"/>
    <col min="10749" max="10749" width="22.7109375" style="337" customWidth="1"/>
    <col min="10750" max="10754" width="0" style="337" hidden="1" customWidth="1"/>
    <col min="10755" max="10755" width="21.28515625" style="337" bestFit="1" customWidth="1"/>
    <col min="10756" max="10756" width="21.28515625" style="337" customWidth="1"/>
    <col min="10757" max="10757" width="25.28515625" style="337" customWidth="1"/>
    <col min="10758" max="10758" width="17.5703125" style="337" customWidth="1"/>
    <col min="10759" max="10759" width="16.7109375" style="337" customWidth="1"/>
    <col min="10760" max="10760" width="30.5703125" style="337" customWidth="1"/>
    <col min="10761" max="10761" width="19.5703125" style="337" customWidth="1"/>
    <col min="10762" max="10762" width="28" style="337" customWidth="1"/>
    <col min="10763" max="10763" width="19" style="337" customWidth="1"/>
    <col min="10764" max="10764" width="21" style="337" customWidth="1"/>
    <col min="10765" max="10765" width="18" style="337" customWidth="1"/>
    <col min="10766" max="10766" width="16.85546875" style="337" customWidth="1"/>
    <col min="10767" max="10993" width="11" style="337"/>
    <col min="10994" max="10994" width="15.28515625" style="337" customWidth="1"/>
    <col min="10995" max="10995" width="61.5703125" style="337" customWidth="1"/>
    <col min="10996" max="10996" width="9.140625" style="337" customWidth="1"/>
    <col min="10997" max="10997" width="8.28515625" style="337" customWidth="1"/>
    <col min="10998" max="10999" width="16.5703125" style="337" customWidth="1"/>
    <col min="11000" max="11001" width="13.85546875" style="337" customWidth="1"/>
    <col min="11002" max="11003" width="19.140625" style="337" customWidth="1"/>
    <col min="11004" max="11004" width="22.7109375" style="337" bestFit="1" customWidth="1"/>
    <col min="11005" max="11005" width="22.7109375" style="337" customWidth="1"/>
    <col min="11006" max="11010" width="0" style="337" hidden="1" customWidth="1"/>
    <col min="11011" max="11011" width="21.28515625" style="337" bestFit="1" customWidth="1"/>
    <col min="11012" max="11012" width="21.28515625" style="337" customWidth="1"/>
    <col min="11013" max="11013" width="25.28515625" style="337" customWidth="1"/>
    <col min="11014" max="11014" width="17.5703125" style="337" customWidth="1"/>
    <col min="11015" max="11015" width="16.7109375" style="337" customWidth="1"/>
    <col min="11016" max="11016" width="30.5703125" style="337" customWidth="1"/>
    <col min="11017" max="11017" width="19.5703125" style="337" customWidth="1"/>
    <col min="11018" max="11018" width="28" style="337" customWidth="1"/>
    <col min="11019" max="11019" width="19" style="337" customWidth="1"/>
    <col min="11020" max="11020" width="21" style="337" customWidth="1"/>
    <col min="11021" max="11021" width="18" style="337" customWidth="1"/>
    <col min="11022" max="11022" width="16.85546875" style="337" customWidth="1"/>
    <col min="11023" max="11249" width="11" style="337"/>
    <col min="11250" max="11250" width="15.28515625" style="337" customWidth="1"/>
    <col min="11251" max="11251" width="61.5703125" style="337" customWidth="1"/>
    <col min="11252" max="11252" width="9.140625" style="337" customWidth="1"/>
    <col min="11253" max="11253" width="8.28515625" style="337" customWidth="1"/>
    <col min="11254" max="11255" width="16.5703125" style="337" customWidth="1"/>
    <col min="11256" max="11257" width="13.85546875" style="337" customWidth="1"/>
    <col min="11258" max="11259" width="19.140625" style="337" customWidth="1"/>
    <col min="11260" max="11260" width="22.7109375" style="337" bestFit="1" customWidth="1"/>
    <col min="11261" max="11261" width="22.7109375" style="337" customWidth="1"/>
    <col min="11262" max="11266" width="0" style="337" hidden="1" customWidth="1"/>
    <col min="11267" max="11267" width="21.28515625" style="337" bestFit="1" customWidth="1"/>
    <col min="11268" max="11268" width="21.28515625" style="337" customWidth="1"/>
    <col min="11269" max="11269" width="25.28515625" style="337" customWidth="1"/>
    <col min="11270" max="11270" width="17.5703125" style="337" customWidth="1"/>
    <col min="11271" max="11271" width="16.7109375" style="337" customWidth="1"/>
    <col min="11272" max="11272" width="30.5703125" style="337" customWidth="1"/>
    <col min="11273" max="11273" width="19.5703125" style="337" customWidth="1"/>
    <col min="11274" max="11274" width="28" style="337" customWidth="1"/>
    <col min="11275" max="11275" width="19" style="337" customWidth="1"/>
    <col min="11276" max="11276" width="21" style="337" customWidth="1"/>
    <col min="11277" max="11277" width="18" style="337" customWidth="1"/>
    <col min="11278" max="11278" width="16.85546875" style="337" customWidth="1"/>
    <col min="11279" max="11505" width="11" style="337"/>
    <col min="11506" max="11506" width="15.28515625" style="337" customWidth="1"/>
    <col min="11507" max="11507" width="61.5703125" style="337" customWidth="1"/>
    <col min="11508" max="11508" width="9.140625" style="337" customWidth="1"/>
    <col min="11509" max="11509" width="8.28515625" style="337" customWidth="1"/>
    <col min="11510" max="11511" width="16.5703125" style="337" customWidth="1"/>
    <col min="11512" max="11513" width="13.85546875" style="337" customWidth="1"/>
    <col min="11514" max="11515" width="19.140625" style="337" customWidth="1"/>
    <col min="11516" max="11516" width="22.7109375" style="337" bestFit="1" customWidth="1"/>
    <col min="11517" max="11517" width="22.7109375" style="337" customWidth="1"/>
    <col min="11518" max="11522" width="0" style="337" hidden="1" customWidth="1"/>
    <col min="11523" max="11523" width="21.28515625" style="337" bestFit="1" customWidth="1"/>
    <col min="11524" max="11524" width="21.28515625" style="337" customWidth="1"/>
    <col min="11525" max="11525" width="25.28515625" style="337" customWidth="1"/>
    <col min="11526" max="11526" width="17.5703125" style="337" customWidth="1"/>
    <col min="11527" max="11527" width="16.7109375" style="337" customWidth="1"/>
    <col min="11528" max="11528" width="30.5703125" style="337" customWidth="1"/>
    <col min="11529" max="11529" width="19.5703125" style="337" customWidth="1"/>
    <col min="11530" max="11530" width="28" style="337" customWidth="1"/>
    <col min="11531" max="11531" width="19" style="337" customWidth="1"/>
    <col min="11532" max="11532" width="21" style="337" customWidth="1"/>
    <col min="11533" max="11533" width="18" style="337" customWidth="1"/>
    <col min="11534" max="11534" width="16.85546875" style="337" customWidth="1"/>
    <col min="11535" max="11761" width="11" style="337"/>
    <col min="11762" max="11762" width="15.28515625" style="337" customWidth="1"/>
    <col min="11763" max="11763" width="61.5703125" style="337" customWidth="1"/>
    <col min="11764" max="11764" width="9.140625" style="337" customWidth="1"/>
    <col min="11765" max="11765" width="8.28515625" style="337" customWidth="1"/>
    <col min="11766" max="11767" width="16.5703125" style="337" customWidth="1"/>
    <col min="11768" max="11769" width="13.85546875" style="337" customWidth="1"/>
    <col min="11770" max="11771" width="19.140625" style="337" customWidth="1"/>
    <col min="11772" max="11772" width="22.7109375" style="337" bestFit="1" customWidth="1"/>
    <col min="11773" max="11773" width="22.7109375" style="337" customWidth="1"/>
    <col min="11774" max="11778" width="0" style="337" hidden="1" customWidth="1"/>
    <col min="11779" max="11779" width="21.28515625" style="337" bestFit="1" customWidth="1"/>
    <col min="11780" max="11780" width="21.28515625" style="337" customWidth="1"/>
    <col min="11781" max="11781" width="25.28515625" style="337" customWidth="1"/>
    <col min="11782" max="11782" width="17.5703125" style="337" customWidth="1"/>
    <col min="11783" max="11783" width="16.7109375" style="337" customWidth="1"/>
    <col min="11784" max="11784" width="30.5703125" style="337" customWidth="1"/>
    <col min="11785" max="11785" width="19.5703125" style="337" customWidth="1"/>
    <col min="11786" max="11786" width="28" style="337" customWidth="1"/>
    <col min="11787" max="11787" width="19" style="337" customWidth="1"/>
    <col min="11788" max="11788" width="21" style="337" customWidth="1"/>
    <col min="11789" max="11789" width="18" style="337" customWidth="1"/>
    <col min="11790" max="11790" width="16.85546875" style="337" customWidth="1"/>
    <col min="11791" max="12017" width="11" style="337"/>
    <col min="12018" max="12018" width="15.28515625" style="337" customWidth="1"/>
    <col min="12019" max="12019" width="61.5703125" style="337" customWidth="1"/>
    <col min="12020" max="12020" width="9.140625" style="337" customWidth="1"/>
    <col min="12021" max="12021" width="8.28515625" style="337" customWidth="1"/>
    <col min="12022" max="12023" width="16.5703125" style="337" customWidth="1"/>
    <col min="12024" max="12025" width="13.85546875" style="337" customWidth="1"/>
    <col min="12026" max="12027" width="19.140625" style="337" customWidth="1"/>
    <col min="12028" max="12028" width="22.7109375" style="337" bestFit="1" customWidth="1"/>
    <col min="12029" max="12029" width="22.7109375" style="337" customWidth="1"/>
    <col min="12030" max="12034" width="0" style="337" hidden="1" customWidth="1"/>
    <col min="12035" max="12035" width="21.28515625" style="337" bestFit="1" customWidth="1"/>
    <col min="12036" max="12036" width="21.28515625" style="337" customWidth="1"/>
    <col min="12037" max="12037" width="25.28515625" style="337" customWidth="1"/>
    <col min="12038" max="12038" width="17.5703125" style="337" customWidth="1"/>
    <col min="12039" max="12039" width="16.7109375" style="337" customWidth="1"/>
    <col min="12040" max="12040" width="30.5703125" style="337" customWidth="1"/>
    <col min="12041" max="12041" width="19.5703125" style="337" customWidth="1"/>
    <col min="12042" max="12042" width="28" style="337" customWidth="1"/>
    <col min="12043" max="12043" width="19" style="337" customWidth="1"/>
    <col min="12044" max="12044" width="21" style="337" customWidth="1"/>
    <col min="12045" max="12045" width="18" style="337" customWidth="1"/>
    <col min="12046" max="12046" width="16.85546875" style="337" customWidth="1"/>
    <col min="12047" max="12273" width="11" style="337"/>
    <col min="12274" max="12274" width="15.28515625" style="337" customWidth="1"/>
    <col min="12275" max="12275" width="61.5703125" style="337" customWidth="1"/>
    <col min="12276" max="12276" width="9.140625" style="337" customWidth="1"/>
    <col min="12277" max="12277" width="8.28515625" style="337" customWidth="1"/>
    <col min="12278" max="12279" width="16.5703125" style="337" customWidth="1"/>
    <col min="12280" max="12281" width="13.85546875" style="337" customWidth="1"/>
    <col min="12282" max="12283" width="19.140625" style="337" customWidth="1"/>
    <col min="12284" max="12284" width="22.7109375" style="337" bestFit="1" customWidth="1"/>
    <col min="12285" max="12285" width="22.7109375" style="337" customWidth="1"/>
    <col min="12286" max="12290" width="0" style="337" hidden="1" customWidth="1"/>
    <col min="12291" max="12291" width="21.28515625" style="337" bestFit="1" customWidth="1"/>
    <col min="12292" max="12292" width="21.28515625" style="337" customWidth="1"/>
    <col min="12293" max="12293" width="25.28515625" style="337" customWidth="1"/>
    <col min="12294" max="12294" width="17.5703125" style="337" customWidth="1"/>
    <col min="12295" max="12295" width="16.7109375" style="337" customWidth="1"/>
    <col min="12296" max="12296" width="30.5703125" style="337" customWidth="1"/>
    <col min="12297" max="12297" width="19.5703125" style="337" customWidth="1"/>
    <col min="12298" max="12298" width="28" style="337" customWidth="1"/>
    <col min="12299" max="12299" width="19" style="337" customWidth="1"/>
    <col min="12300" max="12300" width="21" style="337" customWidth="1"/>
    <col min="12301" max="12301" width="18" style="337" customWidth="1"/>
    <col min="12302" max="12302" width="16.85546875" style="337" customWidth="1"/>
    <col min="12303" max="12529" width="11" style="337"/>
    <col min="12530" max="12530" width="15.28515625" style="337" customWidth="1"/>
    <col min="12531" max="12531" width="61.5703125" style="337" customWidth="1"/>
    <col min="12532" max="12532" width="9.140625" style="337" customWidth="1"/>
    <col min="12533" max="12533" width="8.28515625" style="337" customWidth="1"/>
    <col min="12534" max="12535" width="16.5703125" style="337" customWidth="1"/>
    <col min="12536" max="12537" width="13.85546875" style="337" customWidth="1"/>
    <col min="12538" max="12539" width="19.140625" style="337" customWidth="1"/>
    <col min="12540" max="12540" width="22.7109375" style="337" bestFit="1" customWidth="1"/>
    <col min="12541" max="12541" width="22.7109375" style="337" customWidth="1"/>
    <col min="12542" max="12546" width="0" style="337" hidden="1" customWidth="1"/>
    <col min="12547" max="12547" width="21.28515625" style="337" bestFit="1" customWidth="1"/>
    <col min="12548" max="12548" width="21.28515625" style="337" customWidth="1"/>
    <col min="12549" max="12549" width="25.28515625" style="337" customWidth="1"/>
    <col min="12550" max="12550" width="17.5703125" style="337" customWidth="1"/>
    <col min="12551" max="12551" width="16.7109375" style="337" customWidth="1"/>
    <col min="12552" max="12552" width="30.5703125" style="337" customWidth="1"/>
    <col min="12553" max="12553" width="19.5703125" style="337" customWidth="1"/>
    <col min="12554" max="12554" width="28" style="337" customWidth="1"/>
    <col min="12555" max="12555" width="19" style="337" customWidth="1"/>
    <col min="12556" max="12556" width="21" style="337" customWidth="1"/>
    <col min="12557" max="12557" width="18" style="337" customWidth="1"/>
    <col min="12558" max="12558" width="16.85546875" style="337" customWidth="1"/>
    <col min="12559" max="12785" width="11" style="337"/>
    <col min="12786" max="12786" width="15.28515625" style="337" customWidth="1"/>
    <col min="12787" max="12787" width="61.5703125" style="337" customWidth="1"/>
    <col min="12788" max="12788" width="9.140625" style="337" customWidth="1"/>
    <col min="12789" max="12789" width="8.28515625" style="337" customWidth="1"/>
    <col min="12790" max="12791" width="16.5703125" style="337" customWidth="1"/>
    <col min="12792" max="12793" width="13.85546875" style="337" customWidth="1"/>
    <col min="12794" max="12795" width="19.140625" style="337" customWidth="1"/>
    <col min="12796" max="12796" width="22.7109375" style="337" bestFit="1" customWidth="1"/>
    <col min="12797" max="12797" width="22.7109375" style="337" customWidth="1"/>
    <col min="12798" max="12802" width="0" style="337" hidden="1" customWidth="1"/>
    <col min="12803" max="12803" width="21.28515625" style="337" bestFit="1" customWidth="1"/>
    <col min="12804" max="12804" width="21.28515625" style="337" customWidth="1"/>
    <col min="12805" max="12805" width="25.28515625" style="337" customWidth="1"/>
    <col min="12806" max="12806" width="17.5703125" style="337" customWidth="1"/>
    <col min="12807" max="12807" width="16.7109375" style="337" customWidth="1"/>
    <col min="12808" max="12808" width="30.5703125" style="337" customWidth="1"/>
    <col min="12809" max="12809" width="19.5703125" style="337" customWidth="1"/>
    <col min="12810" max="12810" width="28" style="337" customWidth="1"/>
    <col min="12811" max="12811" width="19" style="337" customWidth="1"/>
    <col min="12812" max="12812" width="21" style="337" customWidth="1"/>
    <col min="12813" max="12813" width="18" style="337" customWidth="1"/>
    <col min="12814" max="12814" width="16.85546875" style="337" customWidth="1"/>
    <col min="12815" max="13041" width="11" style="337"/>
    <col min="13042" max="13042" width="15.28515625" style="337" customWidth="1"/>
    <col min="13043" max="13043" width="61.5703125" style="337" customWidth="1"/>
    <col min="13044" max="13044" width="9.140625" style="337" customWidth="1"/>
    <col min="13045" max="13045" width="8.28515625" style="337" customWidth="1"/>
    <col min="13046" max="13047" width="16.5703125" style="337" customWidth="1"/>
    <col min="13048" max="13049" width="13.85546875" style="337" customWidth="1"/>
    <col min="13050" max="13051" width="19.140625" style="337" customWidth="1"/>
    <col min="13052" max="13052" width="22.7109375" style="337" bestFit="1" customWidth="1"/>
    <col min="13053" max="13053" width="22.7109375" style="337" customWidth="1"/>
    <col min="13054" max="13058" width="0" style="337" hidden="1" customWidth="1"/>
    <col min="13059" max="13059" width="21.28515625" style="337" bestFit="1" customWidth="1"/>
    <col min="13060" max="13060" width="21.28515625" style="337" customWidth="1"/>
    <col min="13061" max="13061" width="25.28515625" style="337" customWidth="1"/>
    <col min="13062" max="13062" width="17.5703125" style="337" customWidth="1"/>
    <col min="13063" max="13063" width="16.7109375" style="337" customWidth="1"/>
    <col min="13064" max="13064" width="30.5703125" style="337" customWidth="1"/>
    <col min="13065" max="13065" width="19.5703125" style="337" customWidth="1"/>
    <col min="13066" max="13066" width="28" style="337" customWidth="1"/>
    <col min="13067" max="13067" width="19" style="337" customWidth="1"/>
    <col min="13068" max="13068" width="21" style="337" customWidth="1"/>
    <col min="13069" max="13069" width="18" style="337" customWidth="1"/>
    <col min="13070" max="13070" width="16.85546875" style="337" customWidth="1"/>
    <col min="13071" max="13297" width="11" style="337"/>
    <col min="13298" max="13298" width="15.28515625" style="337" customWidth="1"/>
    <col min="13299" max="13299" width="61.5703125" style="337" customWidth="1"/>
    <col min="13300" max="13300" width="9.140625" style="337" customWidth="1"/>
    <col min="13301" max="13301" width="8.28515625" style="337" customWidth="1"/>
    <col min="13302" max="13303" width="16.5703125" style="337" customWidth="1"/>
    <col min="13304" max="13305" width="13.85546875" style="337" customWidth="1"/>
    <col min="13306" max="13307" width="19.140625" style="337" customWidth="1"/>
    <col min="13308" max="13308" width="22.7109375" style="337" bestFit="1" customWidth="1"/>
    <col min="13309" max="13309" width="22.7109375" style="337" customWidth="1"/>
    <col min="13310" max="13314" width="0" style="337" hidden="1" customWidth="1"/>
    <col min="13315" max="13315" width="21.28515625" style="337" bestFit="1" customWidth="1"/>
    <col min="13316" max="13316" width="21.28515625" style="337" customWidth="1"/>
    <col min="13317" max="13317" width="25.28515625" style="337" customWidth="1"/>
    <col min="13318" max="13318" width="17.5703125" style="337" customWidth="1"/>
    <col min="13319" max="13319" width="16.7109375" style="337" customWidth="1"/>
    <col min="13320" max="13320" width="30.5703125" style="337" customWidth="1"/>
    <col min="13321" max="13321" width="19.5703125" style="337" customWidth="1"/>
    <col min="13322" max="13322" width="28" style="337" customWidth="1"/>
    <col min="13323" max="13323" width="19" style="337" customWidth="1"/>
    <col min="13324" max="13324" width="21" style="337" customWidth="1"/>
    <col min="13325" max="13325" width="18" style="337" customWidth="1"/>
    <col min="13326" max="13326" width="16.85546875" style="337" customWidth="1"/>
    <col min="13327" max="13553" width="11" style="337"/>
    <col min="13554" max="13554" width="15.28515625" style="337" customWidth="1"/>
    <col min="13555" max="13555" width="61.5703125" style="337" customWidth="1"/>
    <col min="13556" max="13556" width="9.140625" style="337" customWidth="1"/>
    <col min="13557" max="13557" width="8.28515625" style="337" customWidth="1"/>
    <col min="13558" max="13559" width="16.5703125" style="337" customWidth="1"/>
    <col min="13560" max="13561" width="13.85546875" style="337" customWidth="1"/>
    <col min="13562" max="13563" width="19.140625" style="337" customWidth="1"/>
    <col min="13564" max="13564" width="22.7109375" style="337" bestFit="1" customWidth="1"/>
    <col min="13565" max="13565" width="22.7109375" style="337" customWidth="1"/>
    <col min="13566" max="13570" width="0" style="337" hidden="1" customWidth="1"/>
    <col min="13571" max="13571" width="21.28515625" style="337" bestFit="1" customWidth="1"/>
    <col min="13572" max="13572" width="21.28515625" style="337" customWidth="1"/>
    <col min="13573" max="13573" width="25.28515625" style="337" customWidth="1"/>
    <col min="13574" max="13574" width="17.5703125" style="337" customWidth="1"/>
    <col min="13575" max="13575" width="16.7109375" style="337" customWidth="1"/>
    <col min="13576" max="13576" width="30.5703125" style="337" customWidth="1"/>
    <col min="13577" max="13577" width="19.5703125" style="337" customWidth="1"/>
    <col min="13578" max="13578" width="28" style="337" customWidth="1"/>
    <col min="13579" max="13579" width="19" style="337" customWidth="1"/>
    <col min="13580" max="13580" width="21" style="337" customWidth="1"/>
    <col min="13581" max="13581" width="18" style="337" customWidth="1"/>
    <col min="13582" max="13582" width="16.85546875" style="337" customWidth="1"/>
    <col min="13583" max="13809" width="11" style="337"/>
    <col min="13810" max="13810" width="15.28515625" style="337" customWidth="1"/>
    <col min="13811" max="13811" width="61.5703125" style="337" customWidth="1"/>
    <col min="13812" max="13812" width="9.140625" style="337" customWidth="1"/>
    <col min="13813" max="13813" width="8.28515625" style="337" customWidth="1"/>
    <col min="13814" max="13815" width="16.5703125" style="337" customWidth="1"/>
    <col min="13816" max="13817" width="13.85546875" style="337" customWidth="1"/>
    <col min="13818" max="13819" width="19.140625" style="337" customWidth="1"/>
    <col min="13820" max="13820" width="22.7109375" style="337" bestFit="1" customWidth="1"/>
    <col min="13821" max="13821" width="22.7109375" style="337" customWidth="1"/>
    <col min="13822" max="13826" width="0" style="337" hidden="1" customWidth="1"/>
    <col min="13827" max="13827" width="21.28515625" style="337" bestFit="1" customWidth="1"/>
    <col min="13828" max="13828" width="21.28515625" style="337" customWidth="1"/>
    <col min="13829" max="13829" width="25.28515625" style="337" customWidth="1"/>
    <col min="13830" max="13830" width="17.5703125" style="337" customWidth="1"/>
    <col min="13831" max="13831" width="16.7109375" style="337" customWidth="1"/>
    <col min="13832" max="13832" width="30.5703125" style="337" customWidth="1"/>
    <col min="13833" max="13833" width="19.5703125" style="337" customWidth="1"/>
    <col min="13834" max="13834" width="28" style="337" customWidth="1"/>
    <col min="13835" max="13835" width="19" style="337" customWidth="1"/>
    <col min="13836" max="13836" width="21" style="337" customWidth="1"/>
    <col min="13837" max="13837" width="18" style="337" customWidth="1"/>
    <col min="13838" max="13838" width="16.85546875" style="337" customWidth="1"/>
    <col min="13839" max="14065" width="11" style="337"/>
    <col min="14066" max="14066" width="15.28515625" style="337" customWidth="1"/>
    <col min="14067" max="14067" width="61.5703125" style="337" customWidth="1"/>
    <col min="14068" max="14068" width="9.140625" style="337" customWidth="1"/>
    <col min="14069" max="14069" width="8.28515625" style="337" customWidth="1"/>
    <col min="14070" max="14071" width="16.5703125" style="337" customWidth="1"/>
    <col min="14072" max="14073" width="13.85546875" style="337" customWidth="1"/>
    <col min="14074" max="14075" width="19.140625" style="337" customWidth="1"/>
    <col min="14076" max="14076" width="22.7109375" style="337" bestFit="1" customWidth="1"/>
    <col min="14077" max="14077" width="22.7109375" style="337" customWidth="1"/>
    <col min="14078" max="14082" width="0" style="337" hidden="1" customWidth="1"/>
    <col min="14083" max="14083" width="21.28515625" style="337" bestFit="1" customWidth="1"/>
    <col min="14084" max="14084" width="21.28515625" style="337" customWidth="1"/>
    <col min="14085" max="14085" width="25.28515625" style="337" customWidth="1"/>
    <col min="14086" max="14086" width="17.5703125" style="337" customWidth="1"/>
    <col min="14087" max="14087" width="16.7109375" style="337" customWidth="1"/>
    <col min="14088" max="14088" width="30.5703125" style="337" customWidth="1"/>
    <col min="14089" max="14089" width="19.5703125" style="337" customWidth="1"/>
    <col min="14090" max="14090" width="28" style="337" customWidth="1"/>
    <col min="14091" max="14091" width="19" style="337" customWidth="1"/>
    <col min="14092" max="14092" width="21" style="337" customWidth="1"/>
    <col min="14093" max="14093" width="18" style="337" customWidth="1"/>
    <col min="14094" max="14094" width="16.85546875" style="337" customWidth="1"/>
    <col min="14095" max="14321" width="11" style="337"/>
    <col min="14322" max="14322" width="15.28515625" style="337" customWidth="1"/>
    <col min="14323" max="14323" width="61.5703125" style="337" customWidth="1"/>
    <col min="14324" max="14324" width="9.140625" style="337" customWidth="1"/>
    <col min="14325" max="14325" width="8.28515625" style="337" customWidth="1"/>
    <col min="14326" max="14327" width="16.5703125" style="337" customWidth="1"/>
    <col min="14328" max="14329" width="13.85546875" style="337" customWidth="1"/>
    <col min="14330" max="14331" width="19.140625" style="337" customWidth="1"/>
    <col min="14332" max="14332" width="22.7109375" style="337" bestFit="1" customWidth="1"/>
    <col min="14333" max="14333" width="22.7109375" style="337" customWidth="1"/>
    <col min="14334" max="14338" width="0" style="337" hidden="1" customWidth="1"/>
    <col min="14339" max="14339" width="21.28515625" style="337" bestFit="1" customWidth="1"/>
    <col min="14340" max="14340" width="21.28515625" style="337" customWidth="1"/>
    <col min="14341" max="14341" width="25.28515625" style="337" customWidth="1"/>
    <col min="14342" max="14342" width="17.5703125" style="337" customWidth="1"/>
    <col min="14343" max="14343" width="16.7109375" style="337" customWidth="1"/>
    <col min="14344" max="14344" width="30.5703125" style="337" customWidth="1"/>
    <col min="14345" max="14345" width="19.5703125" style="337" customWidth="1"/>
    <col min="14346" max="14346" width="28" style="337" customWidth="1"/>
    <col min="14347" max="14347" width="19" style="337" customWidth="1"/>
    <col min="14348" max="14348" width="21" style="337" customWidth="1"/>
    <col min="14349" max="14349" width="18" style="337" customWidth="1"/>
    <col min="14350" max="14350" width="16.85546875" style="337" customWidth="1"/>
    <col min="14351" max="14577" width="11" style="337"/>
    <col min="14578" max="14578" width="15.28515625" style="337" customWidth="1"/>
    <col min="14579" max="14579" width="61.5703125" style="337" customWidth="1"/>
    <col min="14580" max="14580" width="9.140625" style="337" customWidth="1"/>
    <col min="14581" max="14581" width="8.28515625" style="337" customWidth="1"/>
    <col min="14582" max="14583" width="16.5703125" style="337" customWidth="1"/>
    <col min="14584" max="14585" width="13.85546875" style="337" customWidth="1"/>
    <col min="14586" max="14587" width="19.140625" style="337" customWidth="1"/>
    <col min="14588" max="14588" width="22.7109375" style="337" bestFit="1" customWidth="1"/>
    <col min="14589" max="14589" width="22.7109375" style="337" customWidth="1"/>
    <col min="14590" max="14594" width="0" style="337" hidden="1" customWidth="1"/>
    <col min="14595" max="14595" width="21.28515625" style="337" bestFit="1" customWidth="1"/>
    <col min="14596" max="14596" width="21.28515625" style="337" customWidth="1"/>
    <col min="14597" max="14597" width="25.28515625" style="337" customWidth="1"/>
    <col min="14598" max="14598" width="17.5703125" style="337" customWidth="1"/>
    <col min="14599" max="14599" width="16.7109375" style="337" customWidth="1"/>
    <col min="14600" max="14600" width="30.5703125" style="337" customWidth="1"/>
    <col min="14601" max="14601" width="19.5703125" style="337" customWidth="1"/>
    <col min="14602" max="14602" width="28" style="337" customWidth="1"/>
    <col min="14603" max="14603" width="19" style="337" customWidth="1"/>
    <col min="14604" max="14604" width="21" style="337" customWidth="1"/>
    <col min="14605" max="14605" width="18" style="337" customWidth="1"/>
    <col min="14606" max="14606" width="16.85546875" style="337" customWidth="1"/>
    <col min="14607" max="14833" width="11" style="337"/>
    <col min="14834" max="14834" width="15.28515625" style="337" customWidth="1"/>
    <col min="14835" max="14835" width="61.5703125" style="337" customWidth="1"/>
    <col min="14836" max="14836" width="9.140625" style="337" customWidth="1"/>
    <col min="14837" max="14837" width="8.28515625" style="337" customWidth="1"/>
    <col min="14838" max="14839" width="16.5703125" style="337" customWidth="1"/>
    <col min="14840" max="14841" width="13.85546875" style="337" customWidth="1"/>
    <col min="14842" max="14843" width="19.140625" style="337" customWidth="1"/>
    <col min="14844" max="14844" width="22.7109375" style="337" bestFit="1" customWidth="1"/>
    <col min="14845" max="14845" width="22.7109375" style="337" customWidth="1"/>
    <col min="14846" max="14850" width="0" style="337" hidden="1" customWidth="1"/>
    <col min="14851" max="14851" width="21.28515625" style="337" bestFit="1" customWidth="1"/>
    <col min="14852" max="14852" width="21.28515625" style="337" customWidth="1"/>
    <col min="14853" max="14853" width="25.28515625" style="337" customWidth="1"/>
    <col min="14854" max="14854" width="17.5703125" style="337" customWidth="1"/>
    <col min="14855" max="14855" width="16.7109375" style="337" customWidth="1"/>
    <col min="14856" max="14856" width="30.5703125" style="337" customWidth="1"/>
    <col min="14857" max="14857" width="19.5703125" style="337" customWidth="1"/>
    <col min="14858" max="14858" width="28" style="337" customWidth="1"/>
    <col min="14859" max="14859" width="19" style="337" customWidth="1"/>
    <col min="14860" max="14860" width="21" style="337" customWidth="1"/>
    <col min="14861" max="14861" width="18" style="337" customWidth="1"/>
    <col min="14862" max="14862" width="16.85546875" style="337" customWidth="1"/>
    <col min="14863" max="15089" width="11" style="337"/>
    <col min="15090" max="15090" width="15.28515625" style="337" customWidth="1"/>
    <col min="15091" max="15091" width="61.5703125" style="337" customWidth="1"/>
    <col min="15092" max="15092" width="9.140625" style="337" customWidth="1"/>
    <col min="15093" max="15093" width="8.28515625" style="337" customWidth="1"/>
    <col min="15094" max="15095" width="16.5703125" style="337" customWidth="1"/>
    <col min="15096" max="15097" width="13.85546875" style="337" customWidth="1"/>
    <col min="15098" max="15099" width="19.140625" style="337" customWidth="1"/>
    <col min="15100" max="15100" width="22.7109375" style="337" bestFit="1" customWidth="1"/>
    <col min="15101" max="15101" width="22.7109375" style="337" customWidth="1"/>
    <col min="15102" max="15106" width="0" style="337" hidden="1" customWidth="1"/>
    <col min="15107" max="15107" width="21.28515625" style="337" bestFit="1" customWidth="1"/>
    <col min="15108" max="15108" width="21.28515625" style="337" customWidth="1"/>
    <col min="15109" max="15109" width="25.28515625" style="337" customWidth="1"/>
    <col min="15110" max="15110" width="17.5703125" style="337" customWidth="1"/>
    <col min="15111" max="15111" width="16.7109375" style="337" customWidth="1"/>
    <col min="15112" max="15112" width="30.5703125" style="337" customWidth="1"/>
    <col min="15113" max="15113" width="19.5703125" style="337" customWidth="1"/>
    <col min="15114" max="15114" width="28" style="337" customWidth="1"/>
    <col min="15115" max="15115" width="19" style="337" customWidth="1"/>
    <col min="15116" max="15116" width="21" style="337" customWidth="1"/>
    <col min="15117" max="15117" width="18" style="337" customWidth="1"/>
    <col min="15118" max="15118" width="16.85546875" style="337" customWidth="1"/>
    <col min="15119" max="15345" width="11" style="337"/>
    <col min="15346" max="15346" width="15.28515625" style="337" customWidth="1"/>
    <col min="15347" max="15347" width="61.5703125" style="337" customWidth="1"/>
    <col min="15348" max="15348" width="9.140625" style="337" customWidth="1"/>
    <col min="15349" max="15349" width="8.28515625" style="337" customWidth="1"/>
    <col min="15350" max="15351" width="16.5703125" style="337" customWidth="1"/>
    <col min="15352" max="15353" width="13.85546875" style="337" customWidth="1"/>
    <col min="15354" max="15355" width="19.140625" style="337" customWidth="1"/>
    <col min="15356" max="15356" width="22.7109375" style="337" bestFit="1" customWidth="1"/>
    <col min="15357" max="15357" width="22.7109375" style="337" customWidth="1"/>
    <col min="15358" max="15362" width="0" style="337" hidden="1" customWidth="1"/>
    <col min="15363" max="15363" width="21.28515625" style="337" bestFit="1" customWidth="1"/>
    <col min="15364" max="15364" width="21.28515625" style="337" customWidth="1"/>
    <col min="15365" max="15365" width="25.28515625" style="337" customWidth="1"/>
    <col min="15366" max="15366" width="17.5703125" style="337" customWidth="1"/>
    <col min="15367" max="15367" width="16.7109375" style="337" customWidth="1"/>
    <col min="15368" max="15368" width="30.5703125" style="337" customWidth="1"/>
    <col min="15369" max="15369" width="19.5703125" style="337" customWidth="1"/>
    <col min="15370" max="15370" width="28" style="337" customWidth="1"/>
    <col min="15371" max="15371" width="19" style="337" customWidth="1"/>
    <col min="15372" max="15372" width="21" style="337" customWidth="1"/>
    <col min="15373" max="15373" width="18" style="337" customWidth="1"/>
    <col min="15374" max="15374" width="16.85546875" style="337" customWidth="1"/>
    <col min="15375" max="15601" width="11" style="337"/>
    <col min="15602" max="15602" width="15.28515625" style="337" customWidth="1"/>
    <col min="15603" max="15603" width="61.5703125" style="337" customWidth="1"/>
    <col min="15604" max="15604" width="9.140625" style="337" customWidth="1"/>
    <col min="15605" max="15605" width="8.28515625" style="337" customWidth="1"/>
    <col min="15606" max="15607" width="16.5703125" style="337" customWidth="1"/>
    <col min="15608" max="15609" width="13.85546875" style="337" customWidth="1"/>
    <col min="15610" max="15611" width="19.140625" style="337" customWidth="1"/>
    <col min="15612" max="15612" width="22.7109375" style="337" bestFit="1" customWidth="1"/>
    <col min="15613" max="15613" width="22.7109375" style="337" customWidth="1"/>
    <col min="15614" max="15618" width="0" style="337" hidden="1" customWidth="1"/>
    <col min="15619" max="15619" width="21.28515625" style="337" bestFit="1" customWidth="1"/>
    <col min="15620" max="15620" width="21.28515625" style="337" customWidth="1"/>
    <col min="15621" max="15621" width="25.28515625" style="337" customWidth="1"/>
    <col min="15622" max="15622" width="17.5703125" style="337" customWidth="1"/>
    <col min="15623" max="15623" width="16.7109375" style="337" customWidth="1"/>
    <col min="15624" max="15624" width="30.5703125" style="337" customWidth="1"/>
    <col min="15625" max="15625" width="19.5703125" style="337" customWidth="1"/>
    <col min="15626" max="15626" width="28" style="337" customWidth="1"/>
    <col min="15627" max="15627" width="19" style="337" customWidth="1"/>
    <col min="15628" max="15628" width="21" style="337" customWidth="1"/>
    <col min="15629" max="15629" width="18" style="337" customWidth="1"/>
    <col min="15630" max="15630" width="16.85546875" style="337" customWidth="1"/>
    <col min="15631" max="15857" width="11" style="337"/>
    <col min="15858" max="15858" width="15.28515625" style="337" customWidth="1"/>
    <col min="15859" max="15859" width="61.5703125" style="337" customWidth="1"/>
    <col min="15860" max="15860" width="9.140625" style="337" customWidth="1"/>
    <col min="15861" max="15861" width="8.28515625" style="337" customWidth="1"/>
    <col min="15862" max="15863" width="16.5703125" style="337" customWidth="1"/>
    <col min="15864" max="15865" width="13.85546875" style="337" customWidth="1"/>
    <col min="15866" max="15867" width="19.140625" style="337" customWidth="1"/>
    <col min="15868" max="15868" width="22.7109375" style="337" bestFit="1" customWidth="1"/>
    <col min="15869" max="15869" width="22.7109375" style="337" customWidth="1"/>
    <col min="15870" max="15874" width="0" style="337" hidden="1" customWidth="1"/>
    <col min="15875" max="15875" width="21.28515625" style="337" bestFit="1" customWidth="1"/>
    <col min="15876" max="15876" width="21.28515625" style="337" customWidth="1"/>
    <col min="15877" max="15877" width="25.28515625" style="337" customWidth="1"/>
    <col min="15878" max="15878" width="17.5703125" style="337" customWidth="1"/>
    <col min="15879" max="15879" width="16.7109375" style="337" customWidth="1"/>
    <col min="15880" max="15880" width="30.5703125" style="337" customWidth="1"/>
    <col min="15881" max="15881" width="19.5703125" style="337" customWidth="1"/>
    <col min="15882" max="15882" width="28" style="337" customWidth="1"/>
    <col min="15883" max="15883" width="19" style="337" customWidth="1"/>
    <col min="15884" max="15884" width="21" style="337" customWidth="1"/>
    <col min="15885" max="15885" width="18" style="337" customWidth="1"/>
    <col min="15886" max="15886" width="16.85546875" style="337" customWidth="1"/>
    <col min="15887" max="16113" width="11" style="337"/>
    <col min="16114" max="16114" width="15.28515625" style="337" customWidth="1"/>
    <col min="16115" max="16115" width="61.5703125" style="337" customWidth="1"/>
    <col min="16116" max="16116" width="9.140625" style="337" customWidth="1"/>
    <col min="16117" max="16117" width="8.28515625" style="337" customWidth="1"/>
    <col min="16118" max="16119" width="16.5703125" style="337" customWidth="1"/>
    <col min="16120" max="16121" width="13.85546875" style="337" customWidth="1"/>
    <col min="16122" max="16123" width="19.140625" style="337" customWidth="1"/>
    <col min="16124" max="16124" width="22.7109375" style="337" bestFit="1" customWidth="1"/>
    <col min="16125" max="16125" width="22.7109375" style="337" customWidth="1"/>
    <col min="16126" max="16130" width="0" style="337" hidden="1" customWidth="1"/>
    <col min="16131" max="16131" width="21.28515625" style="337" bestFit="1" customWidth="1"/>
    <col min="16132" max="16132" width="21.28515625" style="337" customWidth="1"/>
    <col min="16133" max="16133" width="25.28515625" style="337" customWidth="1"/>
    <col min="16134" max="16134" width="17.5703125" style="337" customWidth="1"/>
    <col min="16135" max="16135" width="16.7109375" style="337" customWidth="1"/>
    <col min="16136" max="16136" width="30.5703125" style="337" customWidth="1"/>
    <col min="16137" max="16137" width="19.5703125" style="337" customWidth="1"/>
    <col min="16138" max="16138" width="28" style="337" customWidth="1"/>
    <col min="16139" max="16139" width="19" style="337" customWidth="1"/>
    <col min="16140" max="16140" width="21" style="337" customWidth="1"/>
    <col min="16141" max="16141" width="18" style="337" customWidth="1"/>
    <col min="16142" max="16142" width="16.85546875" style="337" customWidth="1"/>
    <col min="16143" max="16384" width="11" style="337"/>
  </cols>
  <sheetData>
    <row r="1" spans="1:11" s="343" customFormat="1" ht="22.5" customHeight="1">
      <c r="A1" s="338"/>
      <c r="B1" s="339"/>
      <c r="C1" s="340"/>
      <c r="D1" s="341"/>
      <c r="E1" s="341"/>
      <c r="F1" s="341"/>
      <c r="G1" s="339"/>
      <c r="H1" s="342"/>
    </row>
    <row r="2" spans="1:11" s="343" customFormat="1" ht="22.5" customHeight="1">
      <c r="A2" s="344" t="s">
        <v>425</v>
      </c>
      <c r="B2" s="345" t="s">
        <v>439</v>
      </c>
      <c r="C2" s="346"/>
      <c r="D2" s="347"/>
      <c r="E2" s="348"/>
      <c r="F2" s="347"/>
      <c r="G2" s="349"/>
      <c r="H2" s="350" t="s">
        <v>441</v>
      </c>
    </row>
    <row r="3" spans="1:11" s="343" customFormat="1" ht="22.5" customHeight="1" thickBot="1">
      <c r="A3" s="351"/>
      <c r="B3" s="352"/>
      <c r="C3" s="352"/>
      <c r="D3" s="353"/>
      <c r="E3" s="353"/>
      <c r="F3" s="353"/>
      <c r="G3" s="354"/>
      <c r="H3" s="354"/>
    </row>
    <row r="4" spans="1:11" s="343" customFormat="1" ht="43.15" customHeight="1" thickBot="1">
      <c r="A4" s="473" t="s">
        <v>103</v>
      </c>
      <c r="B4" s="474"/>
      <c r="C4" s="355" t="s">
        <v>104</v>
      </c>
      <c r="D4" s="356" t="s">
        <v>105</v>
      </c>
      <c r="E4" s="357" t="s">
        <v>125</v>
      </c>
      <c r="F4" s="358" t="s">
        <v>126</v>
      </c>
      <c r="G4" s="359" t="s">
        <v>106</v>
      </c>
      <c r="H4" s="360" t="s">
        <v>107</v>
      </c>
    </row>
    <row r="5" spans="1:11" s="368" customFormat="1" ht="22.15" customHeight="1" thickBot="1">
      <c r="A5" s="361"/>
      <c r="B5" s="362"/>
      <c r="C5" s="363"/>
      <c r="D5" s="364"/>
      <c r="E5" s="365"/>
      <c r="F5" s="365"/>
      <c r="G5" s="365"/>
      <c r="H5" s="366"/>
      <c r="I5" s="367"/>
    </row>
    <row r="6" spans="1:11" ht="22.5" customHeight="1" thickBot="1">
      <c r="A6" s="369"/>
      <c r="B6" s="370" t="s">
        <v>108</v>
      </c>
      <c r="C6" s="371"/>
      <c r="D6" s="372"/>
      <c r="E6" s="372"/>
      <c r="F6" s="373"/>
      <c r="G6" s="374"/>
      <c r="H6" s="375"/>
      <c r="I6" s="354"/>
    </row>
    <row r="7" spans="1:11" ht="22.9" customHeight="1" thickBot="1">
      <c r="A7" s="376">
        <v>1</v>
      </c>
      <c r="B7" s="377" t="s">
        <v>424</v>
      </c>
      <c r="C7" s="378"/>
      <c r="D7" s="379"/>
      <c r="E7" s="379"/>
      <c r="F7" s="380"/>
      <c r="G7" s="381"/>
      <c r="H7" s="382">
        <f>SUM(F8:F11)</f>
        <v>0</v>
      </c>
      <c r="I7" s="354"/>
    </row>
    <row r="8" spans="1:11" s="391" customFormat="1" ht="18.600000000000001" customHeight="1">
      <c r="A8" s="383" t="s">
        <v>109</v>
      </c>
      <c r="B8" s="384" t="s">
        <v>421</v>
      </c>
      <c r="C8" s="385" t="s">
        <v>437</v>
      </c>
      <c r="D8" s="386">
        <v>1</v>
      </c>
      <c r="E8" s="387"/>
      <c r="F8" s="388"/>
      <c r="G8" s="389"/>
      <c r="H8" s="390"/>
      <c r="I8" s="354"/>
    </row>
    <row r="9" spans="1:11" ht="18.600000000000001" customHeight="1">
      <c r="A9" s="383" t="s">
        <v>110</v>
      </c>
      <c r="B9" s="392" t="s">
        <v>422</v>
      </c>
      <c r="C9" s="393" t="s">
        <v>437</v>
      </c>
      <c r="D9" s="386">
        <v>1</v>
      </c>
      <c r="E9" s="387"/>
      <c r="F9" s="394"/>
      <c r="G9" s="395"/>
      <c r="H9" s="396"/>
      <c r="I9" s="397"/>
    </row>
    <row r="10" spans="1:11" ht="18.600000000000001" customHeight="1">
      <c r="A10" s="383" t="s">
        <v>111</v>
      </c>
      <c r="B10" s="398" t="s">
        <v>423</v>
      </c>
      <c r="C10" s="393" t="s">
        <v>437</v>
      </c>
      <c r="D10" s="386">
        <v>1</v>
      </c>
      <c r="E10" s="387"/>
      <c r="F10" s="394"/>
      <c r="G10" s="395"/>
      <c r="H10" s="396"/>
      <c r="I10" s="354"/>
    </row>
    <row r="11" spans="1:11" s="399" customFormat="1" ht="18.600000000000001" customHeight="1" thickBot="1">
      <c r="A11" s="383" t="s">
        <v>112</v>
      </c>
      <c r="B11" s="398" t="s">
        <v>434</v>
      </c>
      <c r="C11" s="393" t="s">
        <v>437</v>
      </c>
      <c r="D11" s="386">
        <v>1</v>
      </c>
      <c r="E11" s="387"/>
      <c r="F11" s="394"/>
      <c r="G11" s="395"/>
      <c r="H11" s="396"/>
      <c r="I11" s="354"/>
    </row>
    <row r="12" spans="1:11" s="399" customFormat="1" ht="18.75" thickBot="1">
      <c r="A12" s="376">
        <v>2</v>
      </c>
      <c r="B12" s="377" t="s">
        <v>426</v>
      </c>
      <c r="C12" s="378"/>
      <c r="D12" s="379"/>
      <c r="E12" s="379"/>
      <c r="F12" s="380"/>
      <c r="G12" s="381"/>
      <c r="H12" s="400">
        <f>SUM(F13:F19)</f>
        <v>0</v>
      </c>
      <c r="I12" s="354"/>
    </row>
    <row r="13" spans="1:11" s="399" customFormat="1" ht="18">
      <c r="A13" s="383" t="s">
        <v>113</v>
      </c>
      <c r="B13" s="398" t="s">
        <v>433</v>
      </c>
      <c r="C13" s="393" t="s">
        <v>118</v>
      </c>
      <c r="D13" s="401">
        <v>1</v>
      </c>
      <c r="E13" s="402"/>
      <c r="F13" s="403"/>
      <c r="G13" s="395"/>
      <c r="H13" s="396"/>
      <c r="I13" s="354"/>
    </row>
    <row r="14" spans="1:11" ht="18">
      <c r="A14" s="383" t="s">
        <v>435</v>
      </c>
      <c r="B14" s="398" t="s">
        <v>427</v>
      </c>
      <c r="C14" s="393" t="s">
        <v>118</v>
      </c>
      <c r="D14" s="401">
        <v>1</v>
      </c>
      <c r="E14" s="387"/>
      <c r="F14" s="403"/>
      <c r="G14" s="395"/>
      <c r="H14" s="396"/>
      <c r="I14" s="354"/>
    </row>
    <row r="15" spans="1:11" ht="18">
      <c r="A15" s="478" t="s">
        <v>114</v>
      </c>
      <c r="B15" s="404" t="s">
        <v>428</v>
      </c>
      <c r="C15" s="475" t="s">
        <v>438</v>
      </c>
      <c r="D15" s="467">
        <v>1</v>
      </c>
      <c r="E15" s="464"/>
      <c r="F15" s="470"/>
      <c r="G15" s="395"/>
      <c r="H15" s="396"/>
      <c r="I15" s="354"/>
    </row>
    <row r="16" spans="1:11" s="399" customFormat="1" ht="18">
      <c r="A16" s="479"/>
      <c r="B16" s="404" t="s">
        <v>429</v>
      </c>
      <c r="C16" s="476"/>
      <c r="D16" s="468"/>
      <c r="E16" s="465"/>
      <c r="F16" s="471"/>
      <c r="G16" s="405"/>
      <c r="H16" s="406"/>
      <c r="I16" s="354"/>
      <c r="J16" s="343"/>
      <c r="K16" s="343"/>
    </row>
    <row r="17" spans="1:11" s="399" customFormat="1" ht="18">
      <c r="A17" s="479"/>
      <c r="B17" s="398" t="s">
        <v>430</v>
      </c>
      <c r="C17" s="476"/>
      <c r="D17" s="468"/>
      <c r="E17" s="465"/>
      <c r="F17" s="471"/>
      <c r="G17" s="395"/>
      <c r="H17" s="396"/>
      <c r="I17" s="354"/>
      <c r="J17" s="343"/>
      <c r="K17" s="343"/>
    </row>
    <row r="18" spans="1:11" s="399" customFormat="1" ht="18">
      <c r="A18" s="479"/>
      <c r="B18" s="404" t="s">
        <v>431</v>
      </c>
      <c r="C18" s="476"/>
      <c r="D18" s="468"/>
      <c r="E18" s="465"/>
      <c r="F18" s="471"/>
      <c r="G18" s="405"/>
      <c r="H18" s="406"/>
      <c r="I18" s="354"/>
      <c r="J18" s="343"/>
      <c r="K18" s="343"/>
    </row>
    <row r="19" spans="1:11" s="399" customFormat="1" ht="18.75" thickBot="1">
      <c r="A19" s="480"/>
      <c r="B19" s="398" t="s">
        <v>432</v>
      </c>
      <c r="C19" s="477"/>
      <c r="D19" s="469"/>
      <c r="E19" s="466"/>
      <c r="F19" s="472"/>
      <c r="G19" s="395"/>
      <c r="H19" s="396"/>
      <c r="I19" s="354"/>
      <c r="J19" s="343"/>
      <c r="K19" s="343"/>
    </row>
    <row r="20" spans="1:11" ht="18.75" thickBot="1">
      <c r="A20" s="376">
        <v>3</v>
      </c>
      <c r="B20" s="377" t="s">
        <v>119</v>
      </c>
      <c r="C20" s="378"/>
      <c r="D20" s="379"/>
      <c r="E20" s="379"/>
      <c r="F20" s="380"/>
      <c r="G20" s="381"/>
      <c r="H20" s="400">
        <f>SUM(F21:F23)</f>
        <v>0</v>
      </c>
      <c r="I20" s="354"/>
      <c r="J20" s="343"/>
      <c r="K20" s="343"/>
    </row>
    <row r="21" spans="1:11" s="399" customFormat="1" ht="18">
      <c r="A21" s="383" t="s">
        <v>115</v>
      </c>
      <c r="B21" s="398" t="s">
        <v>436</v>
      </c>
      <c r="C21" s="407" t="s">
        <v>437</v>
      </c>
      <c r="D21" s="408">
        <v>1</v>
      </c>
      <c r="E21" s="409"/>
      <c r="F21" s="403"/>
      <c r="G21" s="389"/>
      <c r="H21" s="396"/>
      <c r="I21" s="354"/>
      <c r="J21" s="343"/>
      <c r="K21" s="410"/>
    </row>
    <row r="22" spans="1:11" s="399" customFormat="1" ht="18">
      <c r="A22" s="383" t="s">
        <v>116</v>
      </c>
      <c r="B22" s="398" t="s">
        <v>436</v>
      </c>
      <c r="C22" s="407" t="s">
        <v>437</v>
      </c>
      <c r="D22" s="408">
        <v>1</v>
      </c>
      <c r="E22" s="408"/>
      <c r="F22" s="403"/>
      <c r="G22" s="395"/>
      <c r="H22" s="396"/>
      <c r="I22" s="354"/>
      <c r="J22" s="343"/>
      <c r="K22" s="343"/>
    </row>
    <row r="23" spans="1:11" ht="18.75" thickBot="1">
      <c r="A23" s="411" t="s">
        <v>117</v>
      </c>
      <c r="B23" s="412" t="s">
        <v>436</v>
      </c>
      <c r="C23" s="413" t="s">
        <v>437</v>
      </c>
      <c r="D23" s="414">
        <v>1</v>
      </c>
      <c r="E23" s="414"/>
      <c r="F23" s="415"/>
      <c r="G23" s="416"/>
      <c r="H23" s="417"/>
      <c r="I23" s="354"/>
      <c r="J23" s="343"/>
      <c r="K23" s="343"/>
    </row>
    <row r="24" spans="1:11" s="425" customFormat="1" ht="18.75" thickBot="1">
      <c r="A24" s="418"/>
      <c r="B24" s="419"/>
      <c r="C24" s="420"/>
      <c r="D24" s="421"/>
      <c r="E24" s="422"/>
      <c r="F24" s="422"/>
      <c r="G24" s="423"/>
      <c r="H24" s="424"/>
      <c r="I24" s="354"/>
    </row>
    <row r="25" spans="1:11" ht="21" thickBot="1">
      <c r="A25" s="426"/>
      <c r="B25" s="427" t="s">
        <v>120</v>
      </c>
      <c r="C25" s="428"/>
      <c r="D25" s="429"/>
      <c r="E25" s="429"/>
      <c r="F25" s="430"/>
      <c r="G25" s="431"/>
      <c r="H25" s="432">
        <f>+H7+H12+H20</f>
        <v>0</v>
      </c>
      <c r="I25" s="354"/>
    </row>
    <row r="26" spans="1:11" s="425" customFormat="1" ht="32.25" customHeight="1" thickBot="1">
      <c r="A26" s="433"/>
      <c r="B26" s="434" t="s">
        <v>121</v>
      </c>
      <c r="C26" s="435"/>
      <c r="D26" s="436"/>
      <c r="E26" s="436"/>
      <c r="F26" s="437"/>
      <c r="G26" s="438"/>
      <c r="H26" s="439">
        <v>0</v>
      </c>
      <c r="I26" s="354"/>
    </row>
    <row r="27" spans="1:11" s="425" customFormat="1" ht="32.25" customHeight="1" thickBot="1">
      <c r="A27" s="440"/>
      <c r="B27" s="441" t="s">
        <v>440</v>
      </c>
      <c r="C27" s="442"/>
      <c r="D27" s="443"/>
      <c r="E27" s="443"/>
      <c r="F27" s="444"/>
      <c r="G27" s="445"/>
      <c r="H27" s="446">
        <v>0</v>
      </c>
      <c r="I27" s="354"/>
    </row>
    <row r="28" spans="1:11" s="425" customFormat="1" ht="32.25" customHeight="1" thickBot="1">
      <c r="A28" s="447"/>
      <c r="B28" s="448" t="s">
        <v>122</v>
      </c>
      <c r="C28" s="449"/>
      <c r="D28" s="450"/>
      <c r="E28" s="450"/>
      <c r="F28" s="451"/>
      <c r="G28" s="452"/>
      <c r="H28" s="453">
        <f>+H25+H26</f>
        <v>0</v>
      </c>
      <c r="I28" s="354"/>
    </row>
    <row r="29" spans="1:11" s="425" customFormat="1" ht="32.25" customHeight="1" thickBot="1">
      <c r="A29" s="454"/>
      <c r="B29" s="455" t="s">
        <v>123</v>
      </c>
      <c r="C29" s="455"/>
      <c r="D29" s="456" t="s">
        <v>124</v>
      </c>
      <c r="E29" s="457"/>
      <c r="F29" s="457"/>
      <c r="G29" s="458"/>
      <c r="H29" s="459"/>
      <c r="I29" s="354"/>
    </row>
    <row r="30" spans="1:11" s="425" customFormat="1" ht="32.25" customHeight="1">
      <c r="A30" s="337"/>
      <c r="B30" s="337"/>
      <c r="C30" s="337"/>
      <c r="D30" s="460"/>
      <c r="E30" s="460"/>
      <c r="F30" s="461"/>
      <c r="G30" s="462"/>
      <c r="H30" s="463"/>
      <c r="I30" s="354"/>
    </row>
  </sheetData>
  <mergeCells count="6">
    <mergeCell ref="E15:E19"/>
    <mergeCell ref="D15:D19"/>
    <mergeCell ref="F15:F19"/>
    <mergeCell ref="A4:B4"/>
    <mergeCell ref="C15:C19"/>
    <mergeCell ref="A15:A19"/>
  </mergeCells>
  <pageMargins left="0.25" right="0.25" top="0.75" bottom="0.75" header="0.3" footer="0.3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3"/>
  <sheetViews>
    <sheetView zoomScale="90" zoomScaleNormal="90" workbookViewId="0">
      <selection activeCell="D18" sqref="D18"/>
    </sheetView>
  </sheetViews>
  <sheetFormatPr baseColWidth="10" defaultRowHeight="15"/>
  <cols>
    <col min="1" max="1" width="12.7109375" style="40" customWidth="1"/>
    <col min="2" max="2" width="19.28515625" style="40" customWidth="1"/>
    <col min="3" max="3" width="16.28515625" style="40" customWidth="1"/>
    <col min="4" max="4" width="17.7109375" style="40" customWidth="1"/>
    <col min="5" max="5" width="18.7109375" style="40" customWidth="1"/>
    <col min="6" max="8" width="12.7109375" style="40" customWidth="1"/>
    <col min="9" max="12" width="12.7109375" customWidth="1"/>
    <col min="13" max="13" width="10.7109375" customWidth="1"/>
    <col min="14" max="14" width="14.28515625" customWidth="1"/>
  </cols>
  <sheetData>
    <row r="1" spans="1:14" ht="54.6" customHeight="1">
      <c r="A1" s="41"/>
      <c r="B1" s="42"/>
      <c r="C1" s="42"/>
      <c r="D1" s="42"/>
      <c r="E1" s="42"/>
      <c r="F1" s="43"/>
      <c r="G1" s="42"/>
      <c r="H1" s="44"/>
      <c r="I1" s="319"/>
      <c r="J1" s="319"/>
      <c r="K1" s="319"/>
      <c r="L1" s="46"/>
      <c r="M1" s="46"/>
      <c r="N1" s="46">
        <v>45776</v>
      </c>
    </row>
    <row r="2" spans="1:14">
      <c r="A2" s="1"/>
      <c r="B2" s="39"/>
      <c r="C2" s="39"/>
      <c r="D2" s="39"/>
      <c r="E2" s="39"/>
      <c r="F2" s="47"/>
      <c r="G2" s="39"/>
      <c r="L2" s="39"/>
      <c r="M2" s="39"/>
      <c r="N2" s="48"/>
    </row>
    <row r="3" spans="1:14" ht="19.5" thickBot="1">
      <c r="A3" s="49" t="s">
        <v>57</v>
      </c>
      <c r="B3" s="76" t="s">
        <v>146</v>
      </c>
      <c r="C3" s="76"/>
      <c r="D3" s="76"/>
      <c r="E3" s="76"/>
      <c r="F3" s="50"/>
      <c r="G3" s="53"/>
      <c r="H3" s="51"/>
      <c r="I3" s="198"/>
      <c r="J3" s="198"/>
      <c r="K3" s="198"/>
      <c r="L3" s="54"/>
      <c r="M3" s="54"/>
      <c r="N3" s="54" t="s">
        <v>336</v>
      </c>
    </row>
    <row r="4" spans="1:14" ht="15.75" thickBot="1">
      <c r="A4" s="321" t="s">
        <v>166</v>
      </c>
      <c r="B4" s="322" t="s">
        <v>333</v>
      </c>
      <c r="C4" s="323" t="s">
        <v>264</v>
      </c>
      <c r="D4" s="323" t="s">
        <v>188</v>
      </c>
      <c r="E4" s="323" t="s">
        <v>166</v>
      </c>
      <c r="F4" s="322" t="s">
        <v>184</v>
      </c>
      <c r="G4" s="323" t="s">
        <v>171</v>
      </c>
      <c r="H4" s="323" t="s">
        <v>177</v>
      </c>
      <c r="I4" s="323" t="s">
        <v>178</v>
      </c>
      <c r="J4" s="323" t="s">
        <v>181</v>
      </c>
      <c r="K4" s="323" t="s">
        <v>182</v>
      </c>
      <c r="L4" s="323" t="s">
        <v>185</v>
      </c>
      <c r="M4" s="322" t="s">
        <v>24</v>
      </c>
      <c r="N4" s="324" t="s">
        <v>166</v>
      </c>
    </row>
    <row r="5" spans="1:14" ht="27.6" customHeight="1">
      <c r="A5" s="300" t="s">
        <v>327</v>
      </c>
      <c r="B5" s="320" t="s">
        <v>334</v>
      </c>
      <c r="C5" s="306" t="s">
        <v>255</v>
      </c>
      <c r="D5" s="325" t="s">
        <v>313</v>
      </c>
      <c r="E5" s="327" t="s">
        <v>335</v>
      </c>
      <c r="F5" s="320"/>
      <c r="G5" s="306">
        <v>2</v>
      </c>
      <c r="H5" s="306">
        <v>2</v>
      </c>
      <c r="I5" s="306">
        <v>2</v>
      </c>
      <c r="J5" s="306">
        <v>2</v>
      </c>
      <c r="K5" s="306">
        <v>2</v>
      </c>
      <c r="L5" s="306"/>
      <c r="M5" s="320">
        <f>SUM(F5:L5)</f>
        <v>10</v>
      </c>
      <c r="N5" s="301" t="str">
        <f>+A5</f>
        <v>K01</v>
      </c>
    </row>
    <row r="6" spans="1:14">
      <c r="A6" s="65" t="s">
        <v>328</v>
      </c>
      <c r="B6" s="313" t="s">
        <v>334</v>
      </c>
      <c r="C6" s="307" t="s">
        <v>255</v>
      </c>
      <c r="D6" s="307" t="s">
        <v>221</v>
      </c>
      <c r="E6" s="316" t="s">
        <v>335</v>
      </c>
      <c r="F6" s="313"/>
      <c r="G6" s="307">
        <v>1</v>
      </c>
      <c r="H6" s="307">
        <v>1</v>
      </c>
      <c r="I6" s="307">
        <v>1</v>
      </c>
      <c r="J6" s="307">
        <v>1</v>
      </c>
      <c r="K6" s="307">
        <v>1</v>
      </c>
      <c r="L6" s="307"/>
      <c r="M6" s="313">
        <f t="shared" ref="M6:M10" si="0">SUM(F6:L6)</f>
        <v>5</v>
      </c>
      <c r="N6" s="302" t="str">
        <f t="shared" ref="N6:N10" si="1">+A6</f>
        <v>K02</v>
      </c>
    </row>
    <row r="7" spans="1:14" ht="15" customHeight="1">
      <c r="A7" s="65" t="s">
        <v>329</v>
      </c>
      <c r="B7" s="313" t="s">
        <v>334</v>
      </c>
      <c r="C7" s="307" t="s">
        <v>255</v>
      </c>
      <c r="D7" s="307" t="s">
        <v>224</v>
      </c>
      <c r="E7" s="316" t="s">
        <v>335</v>
      </c>
      <c r="F7" s="313"/>
      <c r="G7" s="307">
        <v>1</v>
      </c>
      <c r="H7" s="307">
        <v>1</v>
      </c>
      <c r="I7" s="307">
        <v>1</v>
      </c>
      <c r="J7" s="307">
        <v>1</v>
      </c>
      <c r="K7" s="307">
        <v>1</v>
      </c>
      <c r="L7" s="307"/>
      <c r="M7" s="313">
        <f t="shared" si="0"/>
        <v>5</v>
      </c>
      <c r="N7" s="302" t="str">
        <f t="shared" si="1"/>
        <v>K03</v>
      </c>
    </row>
    <row r="8" spans="1:14" ht="15" customHeight="1">
      <c r="A8" s="65" t="s">
        <v>330</v>
      </c>
      <c r="B8" s="313" t="s">
        <v>334</v>
      </c>
      <c r="C8" s="307" t="s">
        <v>255</v>
      </c>
      <c r="D8" s="307" t="s">
        <v>224</v>
      </c>
      <c r="E8" s="316" t="s">
        <v>335</v>
      </c>
      <c r="F8" s="313"/>
      <c r="G8" s="307">
        <v>1</v>
      </c>
      <c r="H8" s="307">
        <v>1</v>
      </c>
      <c r="I8" s="307">
        <v>1</v>
      </c>
      <c r="J8" s="307">
        <v>1</v>
      </c>
      <c r="K8" s="307">
        <v>1</v>
      </c>
      <c r="L8" s="307"/>
      <c r="M8" s="313">
        <f t="shared" si="0"/>
        <v>5</v>
      </c>
      <c r="N8" s="302" t="str">
        <f t="shared" si="1"/>
        <v>K04</v>
      </c>
    </row>
    <row r="9" spans="1:14">
      <c r="A9" s="65" t="s">
        <v>331</v>
      </c>
      <c r="B9" s="313" t="s">
        <v>334</v>
      </c>
      <c r="C9" s="307" t="s">
        <v>255</v>
      </c>
      <c r="D9" s="307" t="s">
        <v>256</v>
      </c>
      <c r="E9" s="316" t="s">
        <v>335</v>
      </c>
      <c r="F9" s="313"/>
      <c r="G9" s="307">
        <v>1</v>
      </c>
      <c r="H9" s="307">
        <v>1</v>
      </c>
      <c r="I9" s="307">
        <v>1</v>
      </c>
      <c r="J9" s="307">
        <v>1</v>
      </c>
      <c r="K9" s="307">
        <v>1</v>
      </c>
      <c r="L9" s="307"/>
      <c r="M9" s="313">
        <f t="shared" si="0"/>
        <v>5</v>
      </c>
      <c r="N9" s="302" t="str">
        <f t="shared" si="1"/>
        <v>K05</v>
      </c>
    </row>
    <row r="10" spans="1:14" ht="15.75" thickBot="1">
      <c r="A10" s="65" t="s">
        <v>332</v>
      </c>
      <c r="B10" s="314" t="s">
        <v>334</v>
      </c>
      <c r="C10" s="308" t="s">
        <v>255</v>
      </c>
      <c r="D10" s="308" t="s">
        <v>317</v>
      </c>
      <c r="E10" s="317" t="s">
        <v>335</v>
      </c>
      <c r="F10" s="314"/>
      <c r="G10" s="308">
        <v>1</v>
      </c>
      <c r="H10" s="308">
        <v>1</v>
      </c>
      <c r="I10" s="308">
        <v>1</v>
      </c>
      <c r="J10" s="308">
        <v>1</v>
      </c>
      <c r="K10" s="308">
        <v>1</v>
      </c>
      <c r="L10" s="308"/>
      <c r="M10" s="314">
        <f t="shared" si="0"/>
        <v>5</v>
      </c>
      <c r="N10" s="304" t="str">
        <f t="shared" si="1"/>
        <v>K06</v>
      </c>
    </row>
    <row r="11" spans="1:14">
      <c r="I11" s="40"/>
      <c r="J11" s="40"/>
      <c r="K11" s="40"/>
      <c r="L11" s="40"/>
    </row>
    <row r="12" spans="1:14">
      <c r="I12" s="40"/>
      <c r="J12" s="40"/>
      <c r="K12" s="40"/>
      <c r="L12" s="40"/>
    </row>
    <row r="13" spans="1:14">
      <c r="I13" s="40"/>
      <c r="J13" s="40"/>
      <c r="K13" s="40"/>
      <c r="L13" s="40"/>
    </row>
    <row r="14" spans="1:14">
      <c r="I14" s="40"/>
      <c r="J14" s="40"/>
      <c r="K14" s="40"/>
      <c r="L14" s="40"/>
    </row>
    <row r="15" spans="1:14">
      <c r="I15" s="40"/>
      <c r="J15" s="40"/>
      <c r="K15" s="40"/>
      <c r="L15" s="40"/>
    </row>
    <row r="16" spans="1:14">
      <c r="I16" s="40"/>
      <c r="J16" s="40"/>
      <c r="K16" s="40"/>
      <c r="L16" s="40"/>
    </row>
    <row r="17" spans="7:12">
      <c r="I17" s="40"/>
      <c r="J17" s="40"/>
      <c r="K17" s="40"/>
      <c r="L17" s="40"/>
    </row>
    <row r="18" spans="7:12">
      <c r="I18" s="40"/>
      <c r="J18" s="40"/>
      <c r="K18" s="40"/>
      <c r="L18" s="40"/>
    </row>
    <row r="19" spans="7:12">
      <c r="I19" s="40"/>
      <c r="J19" s="40"/>
      <c r="K19" s="40"/>
      <c r="L19" s="40"/>
    </row>
    <row r="20" spans="7:12">
      <c r="I20" s="40"/>
      <c r="J20" s="40"/>
      <c r="K20" s="40"/>
      <c r="L20" s="40"/>
    </row>
    <row r="21" spans="7:12">
      <c r="I21" s="40"/>
      <c r="J21" s="40"/>
      <c r="K21" s="40"/>
      <c r="L21" s="40"/>
    </row>
    <row r="22" spans="7:12">
      <c r="H22" s="299"/>
    </row>
    <row r="23" spans="7:12">
      <c r="G23" s="503"/>
      <c r="H23" s="503"/>
    </row>
  </sheetData>
  <mergeCells count="1">
    <mergeCell ref="G23:H23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1"/>
  <sheetViews>
    <sheetView zoomScale="90" zoomScaleNormal="90" workbookViewId="0">
      <selection activeCell="L23" sqref="L23"/>
    </sheetView>
  </sheetViews>
  <sheetFormatPr baseColWidth="10" defaultRowHeight="15"/>
  <cols>
    <col min="1" max="1" width="25.28515625" style="40" customWidth="1"/>
    <col min="2" max="2" width="14.28515625" style="40" customWidth="1"/>
    <col min="3" max="3" width="16.28515625" style="40" customWidth="1"/>
    <col min="4" max="4" width="17.7109375" style="40" customWidth="1"/>
    <col min="5" max="5" width="27.7109375" style="40" customWidth="1"/>
    <col min="6" max="8" width="7.42578125" style="40" customWidth="1"/>
    <col min="9" max="12" width="7.42578125" customWidth="1"/>
    <col min="13" max="13" width="10.7109375" customWidth="1"/>
    <col min="14" max="14" width="26.28515625" customWidth="1"/>
  </cols>
  <sheetData>
    <row r="1" spans="1:14" ht="54.6" customHeight="1">
      <c r="A1" s="41"/>
      <c r="B1" s="42"/>
      <c r="C1" s="42"/>
      <c r="D1" s="42"/>
      <c r="E1" s="42"/>
      <c r="F1" s="43"/>
      <c r="G1" s="42"/>
      <c r="H1" s="44"/>
      <c r="I1" s="319"/>
      <c r="J1" s="319"/>
      <c r="K1" s="319"/>
      <c r="L1" s="46"/>
      <c r="M1" s="46"/>
      <c r="N1" s="46">
        <v>45776</v>
      </c>
    </row>
    <row r="2" spans="1:14">
      <c r="A2" s="1"/>
      <c r="B2" s="39"/>
      <c r="C2" s="39"/>
      <c r="D2" s="39"/>
      <c r="E2" s="39"/>
      <c r="F2" s="47"/>
      <c r="G2" s="39"/>
      <c r="L2" s="39"/>
      <c r="M2" s="39"/>
      <c r="N2" s="48"/>
    </row>
    <row r="3" spans="1:14" ht="19.5" thickBot="1">
      <c r="A3" s="49" t="s">
        <v>57</v>
      </c>
      <c r="B3" s="76" t="s">
        <v>146</v>
      </c>
      <c r="C3" s="76"/>
      <c r="D3" s="76"/>
      <c r="E3" s="76"/>
      <c r="F3" s="50"/>
      <c r="G3" s="53"/>
      <c r="H3" s="51"/>
      <c r="I3" s="198"/>
      <c r="J3" s="198"/>
      <c r="K3" s="198"/>
      <c r="L3" s="54"/>
      <c r="M3" s="54"/>
      <c r="N3" s="54" t="s">
        <v>365</v>
      </c>
    </row>
    <row r="4" spans="1:14" ht="15.75" thickBot="1">
      <c r="A4" s="321" t="s">
        <v>166</v>
      </c>
      <c r="B4" s="322" t="s">
        <v>333</v>
      </c>
      <c r="C4" s="323" t="s">
        <v>264</v>
      </c>
      <c r="D4" s="323" t="s">
        <v>188</v>
      </c>
      <c r="E4" s="323" t="s">
        <v>166</v>
      </c>
      <c r="F4" s="322" t="s">
        <v>184</v>
      </c>
      <c r="G4" s="323" t="s">
        <v>171</v>
      </c>
      <c r="H4" s="323" t="s">
        <v>177</v>
      </c>
      <c r="I4" s="323" t="s">
        <v>178</v>
      </c>
      <c r="J4" s="323" t="s">
        <v>181</v>
      </c>
      <c r="K4" s="323" t="s">
        <v>182</v>
      </c>
      <c r="L4" s="323" t="s">
        <v>185</v>
      </c>
      <c r="M4" s="322" t="s">
        <v>24</v>
      </c>
      <c r="N4" s="324" t="s">
        <v>166</v>
      </c>
    </row>
    <row r="5" spans="1:14" ht="13.9" customHeight="1">
      <c r="A5" s="300" t="s">
        <v>337</v>
      </c>
      <c r="B5" s="320"/>
      <c r="C5" s="305" t="s">
        <v>323</v>
      </c>
      <c r="D5" s="325" t="s">
        <v>357</v>
      </c>
      <c r="E5" s="327" t="s">
        <v>345</v>
      </c>
      <c r="F5" s="320"/>
      <c r="G5" s="306">
        <v>6</v>
      </c>
      <c r="H5" s="306">
        <v>6</v>
      </c>
      <c r="I5" s="306">
        <v>6</v>
      </c>
      <c r="J5" s="306">
        <v>6</v>
      </c>
      <c r="K5" s="306">
        <v>6</v>
      </c>
      <c r="L5" s="306"/>
      <c r="M5" s="320">
        <f>SUM(F5:L5)</f>
        <v>30</v>
      </c>
      <c r="N5" s="301" t="str">
        <f>+A5</f>
        <v>Inodoros</v>
      </c>
    </row>
    <row r="6" spans="1:14" ht="13.9" customHeight="1">
      <c r="A6" s="65" t="s">
        <v>338</v>
      </c>
      <c r="B6" s="313"/>
      <c r="C6" s="307" t="s">
        <v>323</v>
      </c>
      <c r="D6" s="307" t="s">
        <v>357</v>
      </c>
      <c r="E6" s="316" t="s">
        <v>358</v>
      </c>
      <c r="F6" s="313"/>
      <c r="G6" s="307">
        <v>6</v>
      </c>
      <c r="H6" s="307">
        <v>6</v>
      </c>
      <c r="I6" s="307">
        <v>6</v>
      </c>
      <c r="J6" s="307">
        <v>6</v>
      </c>
      <c r="K6" s="307">
        <v>6</v>
      </c>
      <c r="L6" s="307"/>
      <c r="M6" s="313">
        <f t="shared" ref="M6:M10" si="0">SUM(F6:L6)</f>
        <v>30</v>
      </c>
      <c r="N6" s="302" t="str">
        <f t="shared" ref="N6:N10" si="1">+A6</f>
        <v>Bidet</v>
      </c>
    </row>
    <row r="7" spans="1:14" ht="13.9" customHeight="1">
      <c r="A7" s="65" t="s">
        <v>339</v>
      </c>
      <c r="B7" s="313"/>
      <c r="C7" s="297" t="s">
        <v>323</v>
      </c>
      <c r="D7" s="307" t="s">
        <v>359</v>
      </c>
      <c r="E7" s="316" t="s">
        <v>347</v>
      </c>
      <c r="F7" s="313"/>
      <c r="G7" s="307">
        <v>2</v>
      </c>
      <c r="H7" s="307">
        <v>2</v>
      </c>
      <c r="I7" s="307">
        <v>2</v>
      </c>
      <c r="J7" s="307">
        <v>2</v>
      </c>
      <c r="K7" s="307">
        <v>2</v>
      </c>
      <c r="L7" s="307"/>
      <c r="M7" s="313">
        <f t="shared" si="0"/>
        <v>10</v>
      </c>
      <c r="N7" s="302" t="str">
        <f t="shared" si="1"/>
        <v>Piletas de baño</v>
      </c>
    </row>
    <row r="8" spans="1:14" ht="13.9" customHeight="1">
      <c r="A8" s="65" t="s">
        <v>344</v>
      </c>
      <c r="B8" s="313" t="s">
        <v>360</v>
      </c>
      <c r="C8" s="307" t="s">
        <v>323</v>
      </c>
      <c r="D8" s="307" t="s">
        <v>361</v>
      </c>
      <c r="E8" s="316" t="s">
        <v>346</v>
      </c>
      <c r="F8" s="313"/>
      <c r="G8" s="307">
        <v>4</v>
      </c>
      <c r="H8" s="307">
        <v>4</v>
      </c>
      <c r="I8" s="307">
        <v>4</v>
      </c>
      <c r="J8" s="307">
        <v>4</v>
      </c>
      <c r="K8" s="307">
        <v>4</v>
      </c>
      <c r="L8" s="307"/>
      <c r="M8" s="313">
        <f t="shared" ref="M8" si="2">SUM(F8:L8)</f>
        <v>20</v>
      </c>
      <c r="N8" s="302" t="str">
        <f t="shared" ref="N8" si="3">+A8</f>
        <v>Muebles de baño con pileta</v>
      </c>
    </row>
    <row r="9" spans="1:14" ht="13.9" customHeight="1">
      <c r="A9" s="65" t="s">
        <v>341</v>
      </c>
      <c r="B9" s="313"/>
      <c r="C9" s="307" t="s">
        <v>323</v>
      </c>
      <c r="D9" s="307" t="s">
        <v>357</v>
      </c>
      <c r="E9" s="316" t="s">
        <v>350</v>
      </c>
      <c r="F9" s="313"/>
      <c r="G9" s="307">
        <v>6</v>
      </c>
      <c r="H9" s="307">
        <v>6</v>
      </c>
      <c r="I9" s="307">
        <v>6</v>
      </c>
      <c r="J9" s="307">
        <v>6</v>
      </c>
      <c r="K9" s="307">
        <v>6</v>
      </c>
      <c r="L9" s="307">
        <v>1</v>
      </c>
      <c r="M9" s="313">
        <f t="shared" si="0"/>
        <v>31</v>
      </c>
      <c r="N9" s="302" t="str">
        <f t="shared" si="1"/>
        <v>Grifería de pielta de baño</v>
      </c>
    </row>
    <row r="10" spans="1:14" ht="13.9" customHeight="1">
      <c r="A10" s="65" t="s">
        <v>342</v>
      </c>
      <c r="B10" s="313"/>
      <c r="C10" s="307" t="s">
        <v>323</v>
      </c>
      <c r="D10" s="307" t="s">
        <v>357</v>
      </c>
      <c r="E10" s="316" t="s">
        <v>349</v>
      </c>
      <c r="F10" s="313"/>
      <c r="G10" s="307">
        <v>6</v>
      </c>
      <c r="H10" s="307">
        <v>6</v>
      </c>
      <c r="I10" s="307">
        <v>6</v>
      </c>
      <c r="J10" s="307">
        <v>6</v>
      </c>
      <c r="K10" s="307">
        <v>6</v>
      </c>
      <c r="L10" s="307"/>
      <c r="M10" s="313">
        <f t="shared" si="0"/>
        <v>30</v>
      </c>
      <c r="N10" s="302" t="str">
        <f t="shared" si="1"/>
        <v>Grifería de bidet</v>
      </c>
    </row>
    <row r="11" spans="1:14" ht="13.9" customHeight="1">
      <c r="A11" s="65" t="s">
        <v>348</v>
      </c>
      <c r="B11" s="313"/>
      <c r="C11" s="307" t="s">
        <v>323</v>
      </c>
      <c r="D11" s="307" t="s">
        <v>357</v>
      </c>
      <c r="E11" s="316" t="s">
        <v>351</v>
      </c>
      <c r="F11" s="313"/>
      <c r="G11" s="307">
        <v>6</v>
      </c>
      <c r="H11" s="307">
        <v>6</v>
      </c>
      <c r="I11" s="307">
        <v>6</v>
      </c>
      <c r="J11" s="307">
        <v>6</v>
      </c>
      <c r="K11" s="307">
        <v>6</v>
      </c>
      <c r="L11" s="307"/>
      <c r="M11" s="313">
        <f t="shared" ref="M11" si="4">SUM(F11:L11)</f>
        <v>30</v>
      </c>
      <c r="N11" s="302" t="str">
        <f t="shared" ref="N11" si="5">+A11</f>
        <v>Grifería de ducha</v>
      </c>
    </row>
    <row r="12" spans="1:14" ht="13.9" customHeight="1">
      <c r="A12" s="65" t="s">
        <v>131</v>
      </c>
      <c r="B12" s="313"/>
      <c r="C12" s="307" t="s">
        <v>323</v>
      </c>
      <c r="D12" s="307" t="s">
        <v>357</v>
      </c>
      <c r="E12" s="316" t="s">
        <v>352</v>
      </c>
      <c r="F12" s="313"/>
      <c r="G12" s="307">
        <v>6</v>
      </c>
      <c r="H12" s="307">
        <v>6</v>
      </c>
      <c r="I12" s="307">
        <v>6</v>
      </c>
      <c r="J12" s="307">
        <v>6</v>
      </c>
      <c r="K12" s="307">
        <v>6</v>
      </c>
      <c r="L12" s="307">
        <v>1</v>
      </c>
      <c r="M12" s="313">
        <f>SUM(F12:L12)</f>
        <v>31</v>
      </c>
      <c r="N12" s="302" t="str">
        <f>+A12</f>
        <v>Accesorios de baño</v>
      </c>
    </row>
    <row r="13" spans="1:14" ht="13.9" customHeight="1">
      <c r="A13" s="65" t="s">
        <v>354</v>
      </c>
      <c r="B13" s="313"/>
      <c r="C13" s="307" t="s">
        <v>323</v>
      </c>
      <c r="D13" s="307" t="s">
        <v>263</v>
      </c>
      <c r="E13" s="316" t="s">
        <v>364</v>
      </c>
      <c r="F13" s="313"/>
      <c r="G13" s="307"/>
      <c r="H13" s="307"/>
      <c r="I13" s="307"/>
      <c r="J13" s="307"/>
      <c r="K13" s="307"/>
      <c r="L13" s="307">
        <v>1</v>
      </c>
      <c r="M13" s="313">
        <f t="shared" ref="M13" si="6">SUM(F13:L13)</f>
        <v>1</v>
      </c>
      <c r="N13" s="302" t="str">
        <f t="shared" ref="N13" si="7">+A13</f>
        <v>Inodoro para discapacitados</v>
      </c>
    </row>
    <row r="14" spans="1:14" ht="13.9" customHeight="1">
      <c r="A14" s="65" t="s">
        <v>355</v>
      </c>
      <c r="B14" s="313"/>
      <c r="C14" s="307" t="s">
        <v>323</v>
      </c>
      <c r="D14" s="307" t="s">
        <v>263</v>
      </c>
      <c r="E14" s="316" t="s">
        <v>349</v>
      </c>
      <c r="F14" s="313"/>
      <c r="G14" s="307"/>
      <c r="H14" s="307"/>
      <c r="I14" s="307"/>
      <c r="J14" s="307"/>
      <c r="K14" s="307"/>
      <c r="L14" s="307">
        <v>1</v>
      </c>
      <c r="M14" s="313">
        <f t="shared" ref="M14" si="8">SUM(F14:L14)</f>
        <v>1</v>
      </c>
      <c r="N14" s="302" t="str">
        <f t="shared" ref="N14" si="9">+A14</f>
        <v>Pileta para discapacitados</v>
      </c>
    </row>
    <row r="15" spans="1:14" ht="13.9" customHeight="1" thickBot="1">
      <c r="A15" s="293" t="s">
        <v>356</v>
      </c>
      <c r="B15" s="318"/>
      <c r="C15" s="294" t="s">
        <v>323</v>
      </c>
      <c r="D15" s="294" t="s">
        <v>263</v>
      </c>
      <c r="E15" s="328" t="s">
        <v>362</v>
      </c>
      <c r="F15" s="318"/>
      <c r="G15" s="294"/>
      <c r="H15" s="294"/>
      <c r="I15" s="294"/>
      <c r="J15" s="294"/>
      <c r="K15" s="294"/>
      <c r="L15" s="294">
        <v>1</v>
      </c>
      <c r="M15" s="318">
        <f>SUM(F15:L15)</f>
        <v>1</v>
      </c>
      <c r="N15" s="295" t="str">
        <f>+A15</f>
        <v>Barras para discapacitados</v>
      </c>
    </row>
    <row r="16" spans="1:14" ht="13.9" customHeight="1">
      <c r="A16" s="300" t="s">
        <v>340</v>
      </c>
      <c r="B16" s="320"/>
      <c r="C16" s="306" t="s">
        <v>255</v>
      </c>
      <c r="D16" s="306" t="s">
        <v>357</v>
      </c>
      <c r="E16" s="327" t="s">
        <v>353</v>
      </c>
      <c r="F16" s="320"/>
      <c r="G16" s="306">
        <v>6</v>
      </c>
      <c r="H16" s="306">
        <v>6</v>
      </c>
      <c r="I16" s="306">
        <v>6</v>
      </c>
      <c r="J16" s="306">
        <v>6</v>
      </c>
      <c r="K16" s="306">
        <v>6</v>
      </c>
      <c r="L16" s="306"/>
      <c r="M16" s="320">
        <f>SUM(F16:L16)</f>
        <v>30</v>
      </c>
      <c r="N16" s="301" t="str">
        <f>+A16</f>
        <v>Piletas de cocina</v>
      </c>
    </row>
    <row r="17" spans="1:14" ht="13.9" customHeight="1">
      <c r="A17" s="65" t="s">
        <v>363</v>
      </c>
      <c r="B17" s="313"/>
      <c r="C17" s="307" t="s">
        <v>255</v>
      </c>
      <c r="D17" s="307" t="s">
        <v>263</v>
      </c>
      <c r="E17" s="316" t="s">
        <v>353</v>
      </c>
      <c r="F17" s="313"/>
      <c r="G17" s="307"/>
      <c r="H17" s="307"/>
      <c r="I17" s="307"/>
      <c r="J17" s="307"/>
      <c r="K17" s="307"/>
      <c r="L17" s="307">
        <v>1</v>
      </c>
      <c r="M17" s="313">
        <f>SUM(F17:L17)</f>
        <v>1</v>
      </c>
      <c r="N17" s="302" t="str">
        <f>+A17</f>
        <v xml:space="preserve">Piletas grande de cocina </v>
      </c>
    </row>
    <row r="18" spans="1:14" ht="13.9" customHeight="1" thickBot="1">
      <c r="A18" s="303" t="s">
        <v>343</v>
      </c>
      <c r="B18" s="314"/>
      <c r="C18" s="308" t="s">
        <v>255</v>
      </c>
      <c r="D18" s="308" t="s">
        <v>357</v>
      </c>
      <c r="E18" s="317" t="s">
        <v>349</v>
      </c>
      <c r="F18" s="314"/>
      <c r="G18" s="308">
        <v>6</v>
      </c>
      <c r="H18" s="308">
        <v>6</v>
      </c>
      <c r="I18" s="308">
        <v>6</v>
      </c>
      <c r="J18" s="308">
        <v>6</v>
      </c>
      <c r="K18" s="308">
        <v>6</v>
      </c>
      <c r="L18" s="308">
        <v>1</v>
      </c>
      <c r="M18" s="314">
        <f t="shared" ref="M18" si="10">SUM(F18:L18)</f>
        <v>31</v>
      </c>
      <c r="N18" s="304" t="str">
        <f t="shared" ref="N18" si="11">+A18</f>
        <v>Grifería de pileta de cocina</v>
      </c>
    </row>
    <row r="19" spans="1:14">
      <c r="I19" s="40"/>
      <c r="J19" s="40"/>
      <c r="K19" s="40"/>
      <c r="L19" s="40"/>
    </row>
    <row r="20" spans="1:14">
      <c r="I20" s="40"/>
      <c r="J20" s="40"/>
      <c r="K20" s="40"/>
      <c r="L20" s="40"/>
    </row>
    <row r="21" spans="1:14">
      <c r="I21" s="40"/>
      <c r="J21" s="40"/>
      <c r="K21" s="40"/>
      <c r="L21" s="40"/>
    </row>
    <row r="22" spans="1:14">
      <c r="I22" s="40"/>
      <c r="J22" s="40"/>
      <c r="K22" s="40"/>
      <c r="L22" s="40"/>
    </row>
    <row r="23" spans="1:14">
      <c r="I23" s="40"/>
      <c r="J23" s="40"/>
      <c r="K23" s="40"/>
      <c r="L23" s="40"/>
    </row>
    <row r="24" spans="1:14">
      <c r="I24" s="40"/>
      <c r="J24" s="40"/>
      <c r="K24" s="40"/>
      <c r="L24" s="40"/>
    </row>
    <row r="25" spans="1:14">
      <c r="I25" s="40"/>
      <c r="J25" s="40"/>
      <c r="K25" s="40"/>
      <c r="L25" s="40"/>
    </row>
    <row r="26" spans="1:14">
      <c r="I26" s="40"/>
      <c r="J26" s="40"/>
      <c r="K26" s="40"/>
      <c r="L26" s="40"/>
    </row>
    <row r="27" spans="1:14">
      <c r="I27" s="40"/>
      <c r="J27" s="40"/>
      <c r="K27" s="40"/>
      <c r="L27" s="40"/>
    </row>
    <row r="28" spans="1:14">
      <c r="I28" s="40"/>
      <c r="J28" s="40"/>
      <c r="K28" s="40"/>
      <c r="L28" s="40"/>
    </row>
    <row r="29" spans="1:14">
      <c r="I29" s="40"/>
      <c r="J29" s="40"/>
      <c r="K29" s="40"/>
      <c r="L29" s="40"/>
    </row>
    <row r="30" spans="1:14">
      <c r="H30" s="299"/>
    </row>
    <row r="31" spans="1:14">
      <c r="G31" s="503"/>
      <c r="H31" s="503"/>
    </row>
  </sheetData>
  <mergeCells count="1">
    <mergeCell ref="G31:H3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82"/>
  <sheetViews>
    <sheetView topLeftCell="A64" zoomScale="85" zoomScaleNormal="85" workbookViewId="0">
      <selection activeCell="D78" sqref="D78"/>
    </sheetView>
  </sheetViews>
  <sheetFormatPr baseColWidth="10" defaultRowHeight="15"/>
  <cols>
    <col min="1" max="1" width="14.7109375" customWidth="1"/>
    <col min="2" max="2" width="20.7109375" customWidth="1"/>
    <col min="3" max="3" width="10.42578125" style="18" customWidth="1"/>
    <col min="4" max="6" width="9.7109375" style="18" customWidth="1"/>
    <col min="7" max="7" width="10.28515625" style="18" customWidth="1"/>
    <col min="8" max="18" width="9.7109375" style="18" customWidth="1"/>
    <col min="19" max="21" width="9.5703125" style="18" customWidth="1"/>
    <col min="22" max="22" width="10.85546875" style="18" customWidth="1"/>
    <col min="23" max="23" width="11.28515625" style="18" customWidth="1"/>
    <col min="24" max="25" width="17.28515625" style="18" customWidth="1"/>
    <col min="26" max="28" width="14.28515625" style="18" customWidth="1"/>
    <col min="29" max="29" width="14.42578125" style="18" customWidth="1"/>
    <col min="30" max="30" width="11.5703125" style="18"/>
    <col min="31" max="31" width="19.140625" style="18" customWidth="1"/>
  </cols>
  <sheetData>
    <row r="1" spans="1:31" ht="54.6" customHeight="1">
      <c r="A1" s="41"/>
      <c r="B1" s="42"/>
      <c r="C1" s="43"/>
      <c r="D1" s="44"/>
      <c r="E1" s="45"/>
      <c r="F1" s="42"/>
      <c r="G1" s="42"/>
      <c r="H1" s="42"/>
      <c r="I1" s="42"/>
      <c r="J1" s="46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6">
        <v>45776</v>
      </c>
    </row>
    <row r="2" spans="1:31">
      <c r="A2" s="1"/>
      <c r="B2" s="39"/>
      <c r="C2" s="47"/>
      <c r="D2" s="40"/>
      <c r="E2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8"/>
    </row>
    <row r="3" spans="1:31" ht="18.75">
      <c r="A3" s="49" t="s">
        <v>57</v>
      </c>
      <c r="B3" s="76" t="s">
        <v>147</v>
      </c>
      <c r="C3" s="50"/>
      <c r="D3" s="51"/>
      <c r="E3" s="52"/>
      <c r="F3" s="53"/>
      <c r="G3" s="53"/>
      <c r="H3" s="53"/>
      <c r="I3" s="53"/>
      <c r="J3" s="54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4" t="s">
        <v>65</v>
      </c>
    </row>
    <row r="4" spans="1:31" ht="15.75" thickBot="1"/>
    <row r="5" spans="1:31" ht="19.5" thickBot="1">
      <c r="A5" s="484" t="s">
        <v>64</v>
      </c>
      <c r="B5" s="485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6"/>
    </row>
    <row r="6" spans="1:31" ht="56.45" customHeight="1" thickBot="1">
      <c r="A6" s="6"/>
      <c r="B6" s="87"/>
      <c r="C6" s="4" t="s">
        <v>9</v>
      </c>
      <c r="D6" s="4" t="s">
        <v>8</v>
      </c>
      <c r="E6" s="2" t="s">
        <v>0</v>
      </c>
      <c r="F6" s="3" t="s">
        <v>3</v>
      </c>
      <c r="G6" s="4" t="s">
        <v>2</v>
      </c>
      <c r="H6" s="4" t="s">
        <v>4</v>
      </c>
      <c r="I6" s="2" t="s">
        <v>5</v>
      </c>
      <c r="J6" s="3" t="s">
        <v>63</v>
      </c>
      <c r="K6" s="4" t="s">
        <v>6</v>
      </c>
      <c r="L6" s="3" t="s">
        <v>7</v>
      </c>
      <c r="M6" s="2" t="s">
        <v>10</v>
      </c>
      <c r="N6" s="3" t="s">
        <v>11</v>
      </c>
      <c r="O6" s="3" t="s">
        <v>62</v>
      </c>
      <c r="P6" s="2" t="s">
        <v>12</v>
      </c>
      <c r="Q6" s="3" t="s">
        <v>13</v>
      </c>
      <c r="R6" s="2" t="s">
        <v>14</v>
      </c>
      <c r="S6" s="3" t="s">
        <v>15</v>
      </c>
      <c r="T6" s="2" t="s">
        <v>128</v>
      </c>
      <c r="U6" s="3" t="s">
        <v>129</v>
      </c>
    </row>
    <row r="7" spans="1:31">
      <c r="A7" s="1" t="s">
        <v>1</v>
      </c>
      <c r="B7" s="88"/>
      <c r="C7" s="18">
        <v>2.6</v>
      </c>
      <c r="D7" s="18">
        <v>1</v>
      </c>
      <c r="E7" s="201">
        <f>4.7+14.8+6.7+3.4</f>
        <v>29.599999999999998</v>
      </c>
      <c r="F7" s="20">
        <f>+E7*C7*D7</f>
        <v>76.959999999999994</v>
      </c>
      <c r="G7" s="18">
        <v>0</v>
      </c>
      <c r="H7" s="18">
        <f>+G7*C7*D7</f>
        <v>0</v>
      </c>
      <c r="I7" s="19"/>
      <c r="J7" s="21"/>
      <c r="L7" s="21"/>
      <c r="M7" s="208">
        <f>0.8*3+2.6+0.7</f>
        <v>5.7</v>
      </c>
      <c r="N7" s="21"/>
      <c r="O7" s="493">
        <f>366+177</f>
        <v>543</v>
      </c>
      <c r="P7" s="213">
        <v>14</v>
      </c>
      <c r="Q7" s="21">
        <f>+P7</f>
        <v>14</v>
      </c>
      <c r="R7" s="213">
        <v>22</v>
      </c>
      <c r="S7" s="21">
        <f>+R7*D7</f>
        <v>22</v>
      </c>
      <c r="T7" s="19">
        <v>0</v>
      </c>
      <c r="U7" s="21">
        <f>+T7*F7</f>
        <v>0</v>
      </c>
    </row>
    <row r="8" spans="1:31">
      <c r="A8" s="481" t="s">
        <v>148</v>
      </c>
      <c r="B8" s="89" t="s">
        <v>55</v>
      </c>
      <c r="C8" s="203">
        <v>2.1</v>
      </c>
      <c r="D8" s="90">
        <v>2</v>
      </c>
      <c r="E8" s="91">
        <f>3+27.7+14-8</f>
        <v>36.700000000000003</v>
      </c>
      <c r="F8" s="92">
        <f>+E8*D8*C8</f>
        <v>154.14000000000001</v>
      </c>
      <c r="G8" s="90">
        <v>0</v>
      </c>
      <c r="H8" s="90">
        <f>+G8*D8*C8</f>
        <v>0</v>
      </c>
      <c r="I8" s="93">
        <v>0</v>
      </c>
      <c r="J8" s="94">
        <f>+I8*D8*C8</f>
        <v>0</v>
      </c>
      <c r="K8" s="90"/>
      <c r="L8" s="94">
        <f>+K8*D8*C8</f>
        <v>0</v>
      </c>
      <c r="M8" s="90"/>
      <c r="N8" s="94"/>
      <c r="O8" s="494"/>
      <c r="P8" s="207">
        <f>4.5+28.9+1.8+3.9+4+4+4.5+4.3</f>
        <v>55.899999999999991</v>
      </c>
      <c r="Q8" s="92">
        <f>+P8*D8</f>
        <v>111.79999999999998</v>
      </c>
      <c r="R8" s="207">
        <f>9+50.3+50.7+8.4+8.7+9+8.7</f>
        <v>144.80000000000001</v>
      </c>
      <c r="S8" s="92">
        <f>+R8*D8</f>
        <v>289.60000000000002</v>
      </c>
      <c r="T8" s="91"/>
      <c r="U8" s="92"/>
    </row>
    <row r="9" spans="1:31" ht="12" customHeight="1">
      <c r="A9" s="482"/>
      <c r="B9" s="88" t="s">
        <v>60</v>
      </c>
      <c r="C9" s="18">
        <v>2.4500000000000002</v>
      </c>
      <c r="D9" s="18">
        <v>2</v>
      </c>
      <c r="E9" s="201">
        <f>0.8+10+4.3+1.7+7.7+0.8+4.9+4.5+2.75+2.4+16.2+1.3+6.5+1.9+3+6.2+8.9</f>
        <v>83.850000000000009</v>
      </c>
      <c r="F9" s="20">
        <f t="shared" ref="F9:F10" si="0">+E9*D9*C9</f>
        <v>410.86500000000007</v>
      </c>
      <c r="G9" s="202">
        <f>1.7+1.04+1.2+2.2+2.2+3.1+1.67+2.21+3.3</f>
        <v>18.62</v>
      </c>
      <c r="H9" s="80">
        <f>+G9*C9*D9</f>
        <v>91.238000000000014</v>
      </c>
      <c r="I9" s="201">
        <f>2.4+9.5+3.36+5.5+13.3</f>
        <v>34.06</v>
      </c>
      <c r="J9" s="20">
        <f>+I9*C9*D9</f>
        <v>166.89400000000003</v>
      </c>
      <c r="L9" s="21"/>
      <c r="M9" s="202">
        <f>0.8+2.7+0.7+0.9+0.8*3+0.7+0.8+0.7+1.2+4.7+6.7+2.6+4.7+1+1+0.2</f>
        <v>31.8</v>
      </c>
      <c r="N9" s="20">
        <f>+M9*C9*D9</f>
        <v>155.82000000000002</v>
      </c>
      <c r="O9" s="494"/>
      <c r="P9" s="19"/>
      <c r="Q9" s="21"/>
      <c r="R9" s="19"/>
      <c r="S9" s="21"/>
      <c r="T9" s="213">
        <v>1</v>
      </c>
      <c r="U9" s="20">
        <f>+T9*C9*D9</f>
        <v>4.9000000000000004</v>
      </c>
    </row>
    <row r="10" spans="1:31">
      <c r="A10" s="482"/>
      <c r="B10" s="88" t="s">
        <v>59</v>
      </c>
      <c r="C10" s="18">
        <v>0</v>
      </c>
      <c r="D10" s="18">
        <v>0</v>
      </c>
      <c r="E10" s="81">
        <v>0</v>
      </c>
      <c r="F10" s="20">
        <f t="shared" si="0"/>
        <v>0</v>
      </c>
      <c r="G10" s="80"/>
      <c r="I10" s="19"/>
      <c r="J10" s="21"/>
      <c r="L10" s="21"/>
      <c r="N10" s="21"/>
      <c r="O10" s="494"/>
      <c r="P10" s="19"/>
      <c r="Q10" s="21"/>
      <c r="R10" s="19"/>
      <c r="S10" s="21"/>
      <c r="T10" s="19"/>
      <c r="U10" s="21"/>
    </row>
    <row r="11" spans="1:31">
      <c r="A11" s="483"/>
      <c r="B11" s="95" t="s">
        <v>61</v>
      </c>
      <c r="C11" s="96">
        <v>0</v>
      </c>
      <c r="D11" s="96">
        <v>0</v>
      </c>
      <c r="E11" s="97"/>
      <c r="F11" s="98"/>
      <c r="G11" s="100"/>
      <c r="H11" s="96"/>
      <c r="I11" s="97"/>
      <c r="J11" s="99"/>
      <c r="K11" s="96"/>
      <c r="L11" s="99"/>
      <c r="M11" s="100">
        <v>0</v>
      </c>
      <c r="N11" s="100">
        <f>+C11*D11*M11</f>
        <v>0</v>
      </c>
      <c r="O11" s="494"/>
      <c r="P11" s="97"/>
      <c r="Q11" s="99"/>
      <c r="R11" s="97"/>
      <c r="S11" s="99"/>
      <c r="T11" s="97"/>
      <c r="U11" s="99"/>
    </row>
    <row r="12" spans="1:31">
      <c r="A12" s="482" t="s">
        <v>149</v>
      </c>
      <c r="B12" s="88" t="s">
        <v>55</v>
      </c>
      <c r="C12" s="204">
        <v>2.1</v>
      </c>
      <c r="D12" s="18">
        <v>3</v>
      </c>
      <c r="E12" s="91">
        <f>3+25.5+14-8</f>
        <v>34.5</v>
      </c>
      <c r="F12" s="20">
        <f>+E12*D12*C12</f>
        <v>217.35000000000002</v>
      </c>
      <c r="G12" s="80">
        <v>0</v>
      </c>
      <c r="H12" s="18">
        <f>+G12*D12*C12</f>
        <v>0</v>
      </c>
      <c r="I12" s="19">
        <v>0</v>
      </c>
      <c r="J12" s="21">
        <f>+I12*D12*C12</f>
        <v>0</v>
      </c>
      <c r="L12" s="21">
        <f>+K12*D12*C12</f>
        <v>0</v>
      </c>
      <c r="N12" s="21"/>
      <c r="O12" s="494"/>
      <c r="P12" s="201">
        <f>+P8</f>
        <v>55.899999999999991</v>
      </c>
      <c r="Q12" s="20">
        <f>+P12*D12</f>
        <v>167.7</v>
      </c>
      <c r="R12" s="201">
        <f>+R8</f>
        <v>144.80000000000001</v>
      </c>
      <c r="S12" s="20">
        <f>+R12*D12</f>
        <v>434.40000000000003</v>
      </c>
      <c r="T12" s="81"/>
      <c r="U12" s="20"/>
    </row>
    <row r="13" spans="1:31" ht="12" customHeight="1">
      <c r="A13" s="482"/>
      <c r="B13" s="88" t="s">
        <v>60</v>
      </c>
      <c r="C13" s="18">
        <v>2.4500000000000002</v>
      </c>
      <c r="D13" s="18">
        <v>3</v>
      </c>
      <c r="E13" s="201">
        <f>0.8+10+4.3+1.7+7.7+0.8+4.9+4.5+2.75+2.4+16.2+1.3+6.5+1.9+3+5.2+4.8</f>
        <v>78.75</v>
      </c>
      <c r="F13" s="20">
        <f t="shared" ref="F13:F14" si="1">+E13*D13*C13</f>
        <v>578.8125</v>
      </c>
      <c r="G13" s="202">
        <f>1.7+1.04+1.2+2.2+2.2+3.1+1.67+2.21</f>
        <v>15.32</v>
      </c>
      <c r="H13" s="80">
        <f>+G13*C13*D13</f>
        <v>112.60200000000002</v>
      </c>
      <c r="I13" s="201">
        <f>2.4+9.5+3.36+5.5+10.6</f>
        <v>31.36</v>
      </c>
      <c r="J13" s="20">
        <f>+I13*C13*D13</f>
        <v>230.49600000000004</v>
      </c>
      <c r="L13" s="21"/>
      <c r="M13" s="202">
        <f>0.8+2.7+0.7+0.9+0.8*3+0.7+2.6+0.8+0.7+1.2+4.7+6.7</f>
        <v>24.9</v>
      </c>
      <c r="N13" s="20">
        <f>+M13*C13*D13</f>
        <v>183.01500000000001</v>
      </c>
      <c r="O13" s="494"/>
      <c r="P13" s="19"/>
      <c r="Q13" s="21"/>
      <c r="R13" s="19"/>
      <c r="S13" s="21"/>
      <c r="T13" s="213">
        <v>1</v>
      </c>
      <c r="U13" s="20">
        <f>+T13*C13*D13</f>
        <v>7.3500000000000005</v>
      </c>
    </row>
    <row r="14" spans="1:31">
      <c r="A14" s="482"/>
      <c r="B14" s="88" t="s">
        <v>59</v>
      </c>
      <c r="C14" s="18">
        <v>0</v>
      </c>
      <c r="D14" s="18">
        <v>3</v>
      </c>
      <c r="E14" s="81">
        <v>0</v>
      </c>
      <c r="F14" s="20">
        <f t="shared" si="1"/>
        <v>0</v>
      </c>
      <c r="I14" s="19"/>
      <c r="J14" s="21"/>
      <c r="L14" s="21"/>
      <c r="N14" s="21"/>
      <c r="O14" s="494"/>
      <c r="P14" s="19"/>
      <c r="Q14" s="21"/>
      <c r="R14" s="19"/>
      <c r="S14" s="21"/>
      <c r="T14" s="19"/>
      <c r="U14" s="21"/>
    </row>
    <row r="15" spans="1:31">
      <c r="A15" s="482"/>
      <c r="B15" s="88" t="s">
        <v>61</v>
      </c>
      <c r="C15" s="18">
        <v>0</v>
      </c>
      <c r="D15" s="18">
        <v>3</v>
      </c>
      <c r="E15" s="19"/>
      <c r="F15" s="20"/>
      <c r="I15" s="19"/>
      <c r="J15" s="21"/>
      <c r="L15" s="21"/>
      <c r="M15" s="80">
        <v>0</v>
      </c>
      <c r="N15" s="80">
        <f>+C15*D15*M15</f>
        <v>0</v>
      </c>
      <c r="O15" s="494"/>
      <c r="P15" s="19"/>
      <c r="Q15" s="21"/>
      <c r="R15" s="19"/>
      <c r="S15" s="21"/>
      <c r="T15" s="19"/>
      <c r="U15" s="21"/>
    </row>
    <row r="16" spans="1:31" ht="15.75" thickBot="1">
      <c r="A16" s="106" t="s">
        <v>150</v>
      </c>
      <c r="B16" s="101" t="s">
        <v>66</v>
      </c>
      <c r="C16" s="102">
        <v>2.4500000000000002</v>
      </c>
      <c r="D16" s="102">
        <v>1</v>
      </c>
      <c r="E16" s="205">
        <f>8.4+21.4+1.3+0.8+0.8+5.1+3+2+3+3.2+4.5+3.3+2+2+3.6+3.6</f>
        <v>67.999999999999986</v>
      </c>
      <c r="F16" s="103">
        <f t="shared" ref="F16" si="2">+E16*D16*C16</f>
        <v>166.59999999999997</v>
      </c>
      <c r="G16" s="102"/>
      <c r="H16" s="102"/>
      <c r="I16" s="104"/>
      <c r="J16" s="105"/>
      <c r="K16" s="102"/>
      <c r="L16" s="105"/>
      <c r="M16" s="209">
        <f>0.8*3+2.6+0.7+6.2+2.9</f>
        <v>14.8</v>
      </c>
      <c r="N16" s="103">
        <f>+C16*D16*M16</f>
        <v>36.260000000000005</v>
      </c>
      <c r="O16" s="495"/>
      <c r="P16" s="205">
        <f>8.1+4.1+27.7</f>
        <v>39.9</v>
      </c>
      <c r="Q16" s="103">
        <f>+P16*D16</f>
        <v>39.9</v>
      </c>
      <c r="R16" s="205">
        <f>24.6+8.4+13.9</f>
        <v>46.9</v>
      </c>
      <c r="S16" s="103">
        <f>+R16*D16</f>
        <v>46.9</v>
      </c>
      <c r="T16" s="104"/>
      <c r="U16" s="105"/>
    </row>
    <row r="17" spans="1:33" ht="15.75" thickBot="1">
      <c r="A17" s="153" t="s">
        <v>24</v>
      </c>
      <c r="B17" s="154"/>
      <c r="C17" s="155"/>
      <c r="D17" s="155"/>
      <c r="E17" s="82"/>
      <c r="F17" s="83">
        <f>SUM(F7:F16)</f>
        <v>1604.7275</v>
      </c>
      <c r="G17" s="84"/>
      <c r="H17" s="84">
        <f>SUM(H7:H16)</f>
        <v>203.84000000000003</v>
      </c>
      <c r="I17" s="85"/>
      <c r="J17" s="83">
        <f>SUM(J7:J16)</f>
        <v>397.3900000000001</v>
      </c>
      <c r="K17" s="84"/>
      <c r="L17" s="83">
        <f t="shared" ref="L17" si="3">SUM(L7:L10)</f>
        <v>0</v>
      </c>
      <c r="M17" s="84"/>
      <c r="N17" s="84">
        <f>SUM(N7:N16)</f>
        <v>375.09500000000003</v>
      </c>
      <c r="O17" s="86">
        <f>SUM(O7:O16)</f>
        <v>543</v>
      </c>
      <c r="P17" s="85"/>
      <c r="Q17" s="83">
        <f>SUM(Q7:Q16)</f>
        <v>333.4</v>
      </c>
      <c r="R17" s="85"/>
      <c r="S17" s="83">
        <f>SUM(S7:S16)</f>
        <v>792.9</v>
      </c>
      <c r="T17" s="85"/>
      <c r="U17" s="83">
        <f>SUM(U7:U16)</f>
        <v>12.25</v>
      </c>
    </row>
    <row r="18" spans="1:33">
      <c r="D18" s="206"/>
    </row>
    <row r="19" spans="1:33" ht="15.75" thickBot="1">
      <c r="A19" s="7"/>
      <c r="B19" s="7"/>
    </row>
    <row r="20" spans="1:33" ht="19.5" thickBot="1">
      <c r="A20" s="487" t="s">
        <v>77</v>
      </c>
      <c r="B20" s="488"/>
      <c r="C20" s="488"/>
      <c r="D20" s="488"/>
      <c r="E20" s="488"/>
      <c r="F20" s="488"/>
      <c r="G20" s="488"/>
      <c r="H20" s="488"/>
      <c r="I20" s="488"/>
      <c r="J20" s="488"/>
      <c r="K20" s="488"/>
      <c r="L20" s="488"/>
      <c r="M20" s="488"/>
      <c r="N20" s="488"/>
      <c r="O20" s="488"/>
      <c r="P20" s="488"/>
      <c r="Q20" s="134"/>
      <c r="R20" s="135"/>
      <c r="S20" s="135"/>
    </row>
    <row r="21" spans="1:33" ht="76.150000000000006" customHeight="1" thickBot="1">
      <c r="A21" s="10"/>
      <c r="B21" s="127"/>
      <c r="C21" s="13" t="s">
        <v>156</v>
      </c>
      <c r="D21" s="14" t="s">
        <v>8</v>
      </c>
      <c r="E21" s="13" t="s">
        <v>67</v>
      </c>
      <c r="F21" s="14" t="s">
        <v>76</v>
      </c>
      <c r="G21" s="15" t="s">
        <v>68</v>
      </c>
      <c r="H21" s="12" t="s">
        <v>69</v>
      </c>
      <c r="I21" s="13" t="s">
        <v>152</v>
      </c>
      <c r="J21" s="14" t="s">
        <v>153</v>
      </c>
      <c r="K21" s="16" t="s">
        <v>163</v>
      </c>
      <c r="L21" s="16" t="s">
        <v>164</v>
      </c>
      <c r="M21" s="13" t="s">
        <v>70</v>
      </c>
      <c r="N21" s="14" t="s">
        <v>71</v>
      </c>
      <c r="O21" s="17" t="s">
        <v>25</v>
      </c>
      <c r="P21" s="17" t="s">
        <v>26</v>
      </c>
      <c r="Q21" s="15" t="s">
        <v>74</v>
      </c>
      <c r="R21" s="12" t="s">
        <v>75</v>
      </c>
      <c r="S21" s="19"/>
      <c r="AF21" s="18"/>
      <c r="AG21" s="18"/>
    </row>
    <row r="22" spans="1:33">
      <c r="A22" s="9" t="s">
        <v>1</v>
      </c>
      <c r="C22" s="216">
        <v>2.6</v>
      </c>
      <c r="D22" s="22">
        <v>1</v>
      </c>
      <c r="E22" s="219">
        <f>4.9+4.3+17.7+1.8+2.2+6.7</f>
        <v>37.6</v>
      </c>
      <c r="F22" s="116">
        <f>+C22*D22*E22</f>
        <v>97.76</v>
      </c>
      <c r="G22" s="225">
        <v>20</v>
      </c>
      <c r="H22" s="118">
        <f>+G22*C22*D22</f>
        <v>52</v>
      </c>
      <c r="I22" s="122"/>
      <c r="J22" s="116"/>
      <c r="K22" s="234">
        <f>30.1+10.8+7.7</f>
        <v>48.600000000000009</v>
      </c>
      <c r="L22" s="119">
        <f>+K22*C22*D22</f>
        <v>126.36000000000003</v>
      </c>
      <c r="M22" s="216">
        <v>12</v>
      </c>
      <c r="N22" s="116">
        <f>+M22*C22*D22</f>
        <v>31.200000000000003</v>
      </c>
      <c r="O22" s="237">
        <f>+F22</f>
        <v>97.76</v>
      </c>
      <c r="P22" s="237">
        <f>349*3</f>
        <v>1047</v>
      </c>
      <c r="Q22" s="238"/>
      <c r="R22" s="239"/>
      <c r="S22" s="136"/>
      <c r="AF22" s="18"/>
      <c r="AG22" s="18"/>
    </row>
    <row r="23" spans="1:33">
      <c r="A23" s="481" t="s">
        <v>148</v>
      </c>
      <c r="B23" s="128" t="s">
        <v>9</v>
      </c>
      <c r="C23" s="217">
        <v>2.4</v>
      </c>
      <c r="D23" s="131">
        <v>2</v>
      </c>
      <c r="E23" s="217">
        <f>1.7+0.8+3.3+5.4+1.9+0.8+1+0.9+2.3+(1.7+0.7+4.7+2.4)</f>
        <v>27.6</v>
      </c>
      <c r="F23" s="111">
        <f>+C23*D23*E23</f>
        <v>132.47999999999999</v>
      </c>
      <c r="G23" s="224">
        <v>27</v>
      </c>
      <c r="H23" s="113">
        <f>+C23*D23*G23</f>
        <v>129.6</v>
      </c>
      <c r="I23" s="223">
        <f>+(3.5+3.1)*2.7</f>
        <v>17.82</v>
      </c>
      <c r="J23" s="111">
        <f>+I23</f>
        <v>17.82</v>
      </c>
      <c r="K23" s="233">
        <f>13.6+10.7+19.9+50.3+11.3+18.8+5.7+9.6+19.1+14.3+8.8+15.6+(18.5+8.4+12.6+23.3)</f>
        <v>260.5</v>
      </c>
      <c r="L23" s="210">
        <f>+K23*C23*D23</f>
        <v>1250.3999999999999</v>
      </c>
      <c r="M23" s="229">
        <v>22</v>
      </c>
      <c r="N23" s="111">
        <f>+M23*D23*C23</f>
        <v>105.6</v>
      </c>
      <c r="O23" s="214">
        <f>+F23</f>
        <v>132.47999999999999</v>
      </c>
      <c r="P23" s="124"/>
      <c r="Q23" s="225">
        <f>9.1+8.5+9.1+8.8+9.1+8.8</f>
        <v>53.400000000000006</v>
      </c>
      <c r="R23" s="118">
        <f>+Q23*C23*D23</f>
        <v>256.32</v>
      </c>
      <c r="S23" s="136"/>
      <c r="AF23" s="18"/>
      <c r="AG23" s="18"/>
    </row>
    <row r="24" spans="1:33">
      <c r="A24" s="482"/>
      <c r="B24" s="129" t="s">
        <v>151</v>
      </c>
      <c r="C24" s="216">
        <v>1.6</v>
      </c>
      <c r="D24" s="22">
        <v>2</v>
      </c>
      <c r="E24" s="216">
        <f>2.2+1.4+1.6+8.3</f>
        <v>13.5</v>
      </c>
      <c r="F24" s="116"/>
      <c r="G24" s="225">
        <v>10</v>
      </c>
      <c r="H24" s="118">
        <f>+G24*C24*D24</f>
        <v>32</v>
      </c>
      <c r="I24" s="199"/>
      <c r="J24" s="116"/>
      <c r="K24" s="231"/>
      <c r="L24" s="119"/>
      <c r="M24" s="133"/>
      <c r="N24" s="121"/>
      <c r="O24" s="20"/>
      <c r="P24" s="31"/>
      <c r="Q24" s="123"/>
      <c r="R24" s="118"/>
      <c r="S24" s="136"/>
      <c r="AF24" s="18"/>
      <c r="AG24" s="18"/>
    </row>
    <row r="25" spans="1:33">
      <c r="A25" s="482"/>
      <c r="B25" s="129" t="s">
        <v>72</v>
      </c>
      <c r="C25" s="216">
        <v>2.1</v>
      </c>
      <c r="D25" s="22">
        <v>2</v>
      </c>
      <c r="E25" s="219">
        <f>8.8+1.3+1+8</f>
        <v>19.100000000000001</v>
      </c>
      <c r="F25" s="116">
        <f>+C25*D25*E25</f>
        <v>80.220000000000013</v>
      </c>
      <c r="G25" s="225">
        <f>+E25</f>
        <v>19.100000000000001</v>
      </c>
      <c r="H25" s="118">
        <f>+G25*D25</f>
        <v>38.200000000000003</v>
      </c>
      <c r="I25" s="122"/>
      <c r="J25" s="116"/>
      <c r="K25" s="231"/>
      <c r="L25" s="35"/>
      <c r="M25" s="133"/>
      <c r="N25" s="121"/>
      <c r="O25" s="215">
        <f t="shared" ref="O25:O26" si="4">+F25</f>
        <v>80.220000000000013</v>
      </c>
      <c r="P25" s="31"/>
      <c r="Q25" s="123"/>
      <c r="R25" s="120"/>
      <c r="S25" s="136"/>
      <c r="AF25" s="18"/>
      <c r="AG25" s="18"/>
    </row>
    <row r="26" spans="1:33">
      <c r="A26" s="483"/>
      <c r="B26" s="130" t="s">
        <v>73</v>
      </c>
      <c r="C26" s="218">
        <v>1.3</v>
      </c>
      <c r="D26" s="25">
        <v>2</v>
      </c>
      <c r="E26" s="222">
        <f>4+17.1</f>
        <v>21.1</v>
      </c>
      <c r="F26" s="107">
        <f>+C26*D26*E26</f>
        <v>54.860000000000007</v>
      </c>
      <c r="G26" s="227">
        <f>+E26</f>
        <v>21.1</v>
      </c>
      <c r="H26" s="109">
        <f>+G26*D26</f>
        <v>42.2</v>
      </c>
      <c r="I26" s="110"/>
      <c r="J26" s="107"/>
      <c r="K26" s="232"/>
      <c r="L26" s="28"/>
      <c r="M26" s="29"/>
      <c r="N26" s="30"/>
      <c r="O26" s="215">
        <f t="shared" si="4"/>
        <v>54.860000000000007</v>
      </c>
      <c r="P26" s="125"/>
      <c r="Q26" s="108"/>
      <c r="R26" s="27"/>
      <c r="S26" s="136"/>
      <c r="AF26" s="18"/>
      <c r="AG26" s="18"/>
    </row>
    <row r="27" spans="1:33">
      <c r="A27" s="481" t="s">
        <v>154</v>
      </c>
      <c r="B27" s="128" t="s">
        <v>9</v>
      </c>
      <c r="C27" s="217">
        <v>2.4</v>
      </c>
      <c r="D27" s="131">
        <v>1</v>
      </c>
      <c r="E27" s="217">
        <f>1.7+3.3+0.8+5.4+1.9+0.8+1+0.9+2.3+(1.7+0.7+4.7+2.4)</f>
        <v>27.6</v>
      </c>
      <c r="F27" s="111">
        <f>+C27*D27*E27</f>
        <v>66.239999999999995</v>
      </c>
      <c r="G27" s="224">
        <v>25</v>
      </c>
      <c r="H27" s="113">
        <f>+C27*D27*G27</f>
        <v>60</v>
      </c>
      <c r="I27" s="223">
        <f>+I23</f>
        <v>17.82</v>
      </c>
      <c r="J27" s="111">
        <f>+I27</f>
        <v>17.82</v>
      </c>
      <c r="K27" s="230">
        <f>13.6+10.7+19.9+50.3+11.3+18.8+5.7+9.6+19.1+14.3+8.8+15.6+(14.9+8.1+19.3)</f>
        <v>240</v>
      </c>
      <c r="L27" s="210">
        <f>+K27*C27*D27</f>
        <v>576</v>
      </c>
      <c r="M27" s="229">
        <v>21</v>
      </c>
      <c r="N27" s="111">
        <f>+M27*D27*C27</f>
        <v>50.4</v>
      </c>
      <c r="O27" s="214">
        <f>+F27</f>
        <v>66.239999999999995</v>
      </c>
      <c r="P27" s="124"/>
      <c r="Q27" s="225">
        <f>9.1+8.5+9.1+8.8+9.1+8.8</f>
        <v>53.400000000000006</v>
      </c>
      <c r="R27" s="118">
        <f>+Q27*C27*D27</f>
        <v>128.16</v>
      </c>
      <c r="S27" s="136"/>
      <c r="AF27" s="18"/>
      <c r="AG27" s="18"/>
    </row>
    <row r="28" spans="1:33">
      <c r="A28" s="482"/>
      <c r="B28" s="129" t="s">
        <v>151</v>
      </c>
      <c r="C28" s="216">
        <v>1.6</v>
      </c>
      <c r="D28" s="22">
        <v>1</v>
      </c>
      <c r="E28" s="216">
        <f>+E32</f>
        <v>9.1999999999999993</v>
      </c>
      <c r="F28" s="116"/>
      <c r="G28" s="225">
        <v>10</v>
      </c>
      <c r="H28" s="118">
        <f>+G28*C28*D28</f>
        <v>16</v>
      </c>
      <c r="I28" s="199"/>
      <c r="J28" s="116"/>
      <c r="K28" s="231"/>
      <c r="L28" s="119"/>
      <c r="M28" s="133"/>
      <c r="N28" s="121"/>
      <c r="O28" s="20"/>
      <c r="P28" s="31"/>
      <c r="Q28" s="123"/>
      <c r="R28" s="118"/>
      <c r="S28" s="136"/>
      <c r="AF28" s="18"/>
      <c r="AG28" s="18"/>
    </row>
    <row r="29" spans="1:33">
      <c r="A29" s="482"/>
      <c r="B29" s="129" t="s">
        <v>72</v>
      </c>
      <c r="C29" s="216">
        <v>2.1</v>
      </c>
      <c r="D29" s="22">
        <v>1</v>
      </c>
      <c r="E29" s="219">
        <f>8.8+1.3+1+8+3.5</f>
        <v>22.6</v>
      </c>
      <c r="F29" s="116">
        <f>+C29*D29*E29</f>
        <v>47.460000000000008</v>
      </c>
      <c r="G29" s="226">
        <f>+E29</f>
        <v>22.6</v>
      </c>
      <c r="H29" s="118">
        <f>+G29*D29</f>
        <v>22.6</v>
      </c>
      <c r="I29" s="122"/>
      <c r="J29" s="116"/>
      <c r="K29" s="231"/>
      <c r="L29" s="35"/>
      <c r="M29" s="133"/>
      <c r="N29" s="121"/>
      <c r="O29" s="215">
        <f t="shared" ref="O29:O30" si="5">+F29</f>
        <v>47.460000000000008</v>
      </c>
      <c r="P29" s="31"/>
      <c r="Q29" s="123"/>
      <c r="R29" s="120"/>
      <c r="S29" s="136"/>
      <c r="AF29" s="18"/>
      <c r="AG29" s="18"/>
    </row>
    <row r="30" spans="1:33">
      <c r="A30" s="483"/>
      <c r="B30" s="130" t="s">
        <v>73</v>
      </c>
      <c r="C30" s="218">
        <v>1.3</v>
      </c>
      <c r="D30" s="25">
        <v>1</v>
      </c>
      <c r="E30" s="222">
        <f>+E34</f>
        <v>16.8</v>
      </c>
      <c r="F30" s="107">
        <f>+C30*D30*E30</f>
        <v>21.840000000000003</v>
      </c>
      <c r="G30" s="227">
        <f>+E30</f>
        <v>16.8</v>
      </c>
      <c r="H30" s="109">
        <f>+G30*D30</f>
        <v>16.8</v>
      </c>
      <c r="I30" s="110"/>
      <c r="J30" s="107"/>
      <c r="K30" s="232"/>
      <c r="L30" s="28"/>
      <c r="M30" s="29"/>
      <c r="N30" s="30"/>
      <c r="O30" s="215">
        <f t="shared" si="5"/>
        <v>21.840000000000003</v>
      </c>
      <c r="P30" s="125"/>
      <c r="Q30" s="108"/>
      <c r="R30" s="27"/>
      <c r="S30" s="136"/>
      <c r="AF30" s="18"/>
      <c r="AG30" s="18"/>
    </row>
    <row r="31" spans="1:33">
      <c r="A31" s="482" t="s">
        <v>155</v>
      </c>
      <c r="B31" s="128" t="s">
        <v>9</v>
      </c>
      <c r="C31" s="217">
        <v>2.4</v>
      </c>
      <c r="D31" s="131">
        <v>2</v>
      </c>
      <c r="E31" s="217">
        <f>1.7+3.3+0.8+5.4+1.9+0.8+1+0.9+2.3+(1.1+3.8+2.5)</f>
        <v>25.5</v>
      </c>
      <c r="F31" s="111">
        <f>+C31*D31*E31</f>
        <v>122.39999999999999</v>
      </c>
      <c r="G31" s="224">
        <v>25</v>
      </c>
      <c r="H31" s="113">
        <f>+C31*D31*G31</f>
        <v>120</v>
      </c>
      <c r="I31" s="223">
        <f>+I23</f>
        <v>17.82</v>
      </c>
      <c r="J31" s="111">
        <f>+I31</f>
        <v>17.82</v>
      </c>
      <c r="K31" s="230">
        <f>+K27</f>
        <v>240</v>
      </c>
      <c r="L31" s="210">
        <f>+K31*C31*D31</f>
        <v>1152</v>
      </c>
      <c r="M31" s="229">
        <v>21</v>
      </c>
      <c r="N31" s="111">
        <f>+M31*D31*C31</f>
        <v>100.8</v>
      </c>
      <c r="O31" s="214">
        <f>+F31</f>
        <v>122.39999999999999</v>
      </c>
      <c r="P31" s="124"/>
      <c r="Q31" s="225">
        <f>9.1+8.5+9.1+8.8+9.1+8.8</f>
        <v>53.400000000000006</v>
      </c>
      <c r="R31" s="118">
        <f>+Q31*C31*D31</f>
        <v>256.32</v>
      </c>
      <c r="S31" s="136"/>
      <c r="AF31" s="18"/>
      <c r="AG31" s="18"/>
    </row>
    <row r="32" spans="1:33" ht="13.15" customHeight="1">
      <c r="A32" s="482"/>
      <c r="B32" s="129" t="s">
        <v>151</v>
      </c>
      <c r="C32" s="216">
        <v>2.4</v>
      </c>
      <c r="D32" s="22">
        <v>2</v>
      </c>
      <c r="E32" s="216">
        <f>2.2+1.4+1.6+4</f>
        <v>9.1999999999999993</v>
      </c>
      <c r="F32" s="116"/>
      <c r="G32" s="225">
        <v>9</v>
      </c>
      <c r="H32" s="118">
        <f>+G32*C32*D32</f>
        <v>43.199999999999996</v>
      </c>
      <c r="I32" s="199"/>
      <c r="J32" s="116"/>
      <c r="K32" s="35"/>
      <c r="L32" s="119"/>
      <c r="M32" s="133"/>
      <c r="N32" s="121"/>
      <c r="O32" s="20"/>
      <c r="P32" s="31"/>
      <c r="Q32" s="123"/>
      <c r="R32" s="118"/>
      <c r="S32" s="136"/>
      <c r="AF32" s="18"/>
      <c r="AG32" s="18"/>
    </row>
    <row r="33" spans="1:39">
      <c r="A33" s="482"/>
      <c r="B33" s="129" t="s">
        <v>72</v>
      </c>
      <c r="C33" s="216">
        <v>2.1</v>
      </c>
      <c r="D33" s="22">
        <v>2</v>
      </c>
      <c r="E33" s="219">
        <f>8.8+1.3+1+9.3</f>
        <v>20.400000000000002</v>
      </c>
      <c r="F33" s="116">
        <f>+C33*D33*E33</f>
        <v>85.68</v>
      </c>
      <c r="G33" s="225">
        <f>+E33</f>
        <v>20.400000000000002</v>
      </c>
      <c r="H33" s="118">
        <f>+G33*D33</f>
        <v>40.800000000000004</v>
      </c>
      <c r="I33" s="122"/>
      <c r="J33" s="116"/>
      <c r="K33" s="35"/>
      <c r="L33" s="35"/>
      <c r="M33" s="133"/>
      <c r="N33" s="121"/>
      <c r="O33" s="215">
        <f t="shared" ref="O33:O34" si="6">+F33</f>
        <v>85.68</v>
      </c>
      <c r="P33" s="31"/>
      <c r="Q33" s="117"/>
      <c r="R33" s="120"/>
      <c r="S33" s="136"/>
      <c r="AF33" s="18"/>
      <c r="AG33" s="18"/>
    </row>
    <row r="34" spans="1:39">
      <c r="A34" s="482"/>
      <c r="B34" s="130" t="s">
        <v>73</v>
      </c>
      <c r="C34" s="218">
        <v>1.3</v>
      </c>
      <c r="D34" s="25">
        <v>2</v>
      </c>
      <c r="E34" s="222">
        <f>4+12.8</f>
        <v>16.8</v>
      </c>
      <c r="F34" s="107">
        <f>+C34*D34*E34</f>
        <v>43.680000000000007</v>
      </c>
      <c r="G34" s="228">
        <f>+E34</f>
        <v>16.8</v>
      </c>
      <c r="H34" s="109">
        <f>+G34*D34</f>
        <v>33.6</v>
      </c>
      <c r="I34" s="110"/>
      <c r="J34" s="107"/>
      <c r="K34" s="28"/>
      <c r="L34" s="28"/>
      <c r="M34" s="29"/>
      <c r="N34" s="30"/>
      <c r="O34" s="215">
        <f t="shared" si="6"/>
        <v>43.680000000000007</v>
      </c>
      <c r="P34" s="125"/>
      <c r="Q34" s="26"/>
      <c r="R34" s="27"/>
      <c r="S34" s="136"/>
      <c r="AF34" s="18"/>
      <c r="AG34" s="18"/>
    </row>
    <row r="35" spans="1:39">
      <c r="A35" s="490" t="s">
        <v>150</v>
      </c>
      <c r="B35" s="170" t="s">
        <v>9</v>
      </c>
      <c r="C35" s="217">
        <v>3.2</v>
      </c>
      <c r="D35" s="131">
        <v>1</v>
      </c>
      <c r="E35" s="229">
        <f>6.8+3.9+23.9+3.6+3.6+3.2+4.5+2.3+3.3+2+2+2.1+3</f>
        <v>64.199999999999989</v>
      </c>
      <c r="F35" s="111">
        <f>+C35*D35*E35*1.3</f>
        <v>267.07199999999995</v>
      </c>
      <c r="G35" s="224">
        <f>19+(10*4)</f>
        <v>59</v>
      </c>
      <c r="H35" s="113">
        <f>+G35*C35*D35</f>
        <v>188.8</v>
      </c>
      <c r="I35" s="126"/>
      <c r="J35" s="111"/>
      <c r="K35" s="114"/>
      <c r="L35" s="114"/>
      <c r="M35" s="132"/>
      <c r="N35" s="115"/>
      <c r="O35" s="214">
        <f>+F35</f>
        <v>267.07199999999995</v>
      </c>
      <c r="P35" s="124"/>
      <c r="Q35" s="112"/>
      <c r="R35" s="115"/>
      <c r="S35" s="136"/>
      <c r="AF35" s="18"/>
      <c r="AG35" s="18"/>
    </row>
    <row r="36" spans="1:39">
      <c r="A36" s="491"/>
      <c r="B36" s="171" t="s">
        <v>9</v>
      </c>
      <c r="C36" s="220">
        <v>2.5</v>
      </c>
      <c r="D36" s="22">
        <v>1</v>
      </c>
      <c r="E36" s="235"/>
      <c r="F36" s="116"/>
      <c r="G36" s="225"/>
      <c r="H36" s="118"/>
      <c r="I36" s="221"/>
      <c r="J36" s="116"/>
      <c r="K36" s="236">
        <f>13.9+12.4+3.4+5.14+1.4</f>
        <v>36.239999999999995</v>
      </c>
      <c r="L36" s="211">
        <f>+K36*C36*D36</f>
        <v>90.6</v>
      </c>
      <c r="M36" s="221">
        <v>13</v>
      </c>
      <c r="N36" s="116">
        <f>+M36*D36*C36</f>
        <v>32.5</v>
      </c>
      <c r="O36" s="20"/>
      <c r="P36" s="31"/>
      <c r="Q36" s="226">
        <v>8.5</v>
      </c>
      <c r="R36" s="118">
        <f>+Q36*D36*C36</f>
        <v>21.25</v>
      </c>
      <c r="S36" s="136"/>
      <c r="AF36" s="18"/>
      <c r="AG36" s="18"/>
    </row>
    <row r="37" spans="1:39" ht="15.75" thickBot="1">
      <c r="A37" s="492"/>
      <c r="B37" s="172" t="s">
        <v>72</v>
      </c>
      <c r="C37" s="216">
        <v>2.2999999999999998</v>
      </c>
      <c r="D37" s="22">
        <v>1</v>
      </c>
      <c r="E37" s="219">
        <f>3.6+3.8+58.9</f>
        <v>66.3</v>
      </c>
      <c r="F37" s="116">
        <f>+C37*D37*E37</f>
        <v>152.48999999999998</v>
      </c>
      <c r="G37" s="225">
        <f>+(22+10.9)*2</f>
        <v>65.8</v>
      </c>
      <c r="H37" s="118">
        <f>+G37*2</f>
        <v>131.6</v>
      </c>
      <c r="I37" s="122"/>
      <c r="J37" s="116"/>
      <c r="K37" s="35"/>
      <c r="L37" s="35"/>
      <c r="M37" s="133"/>
      <c r="N37" s="121"/>
      <c r="O37" s="215">
        <f>+F37</f>
        <v>152.48999999999998</v>
      </c>
      <c r="P37" s="31"/>
      <c r="Q37" s="117"/>
      <c r="R37" s="120"/>
      <c r="S37" s="136"/>
      <c r="AF37" s="18"/>
      <c r="AG37" s="18"/>
    </row>
    <row r="38" spans="1:39" ht="15.75" thickBot="1">
      <c r="A38" s="160" t="s">
        <v>24</v>
      </c>
      <c r="B38" s="164"/>
      <c r="C38" s="165"/>
      <c r="D38" s="166"/>
      <c r="E38" s="165"/>
      <c r="F38" s="163">
        <f>SUM(F22:F37)</f>
        <v>1172.182</v>
      </c>
      <c r="G38" s="167"/>
      <c r="H38" s="162">
        <f>SUM(H22:H37)</f>
        <v>967.4000000000002</v>
      </c>
      <c r="I38" s="165"/>
      <c r="J38" s="163">
        <f>SUM(J22:J37)</f>
        <v>53.46</v>
      </c>
      <c r="K38" s="168"/>
      <c r="L38" s="86">
        <f>SUM(L22:L37)</f>
        <v>3195.36</v>
      </c>
      <c r="M38" s="165"/>
      <c r="N38" s="163">
        <f>SUM(N22:N37)</f>
        <v>320.5</v>
      </c>
      <c r="O38" s="83">
        <f>SUM(O22:O37)</f>
        <v>1172.182</v>
      </c>
      <c r="P38" s="83">
        <f>SUM(P22:P37)</f>
        <v>1047</v>
      </c>
      <c r="Q38" s="169"/>
      <c r="R38" s="163">
        <f>SUM(R22:R37)</f>
        <v>662.05</v>
      </c>
      <c r="S38" s="137"/>
      <c r="AF38" s="18"/>
      <c r="AG38" s="18"/>
    </row>
    <row r="39" spans="1:39">
      <c r="A39" s="5"/>
      <c r="B39" s="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AD39"/>
      <c r="AE39"/>
    </row>
    <row r="40" spans="1:39" ht="15.75" thickBot="1">
      <c r="AD40"/>
      <c r="AE40"/>
    </row>
    <row r="41" spans="1:39" ht="19.5" thickBot="1">
      <c r="A41" s="487" t="s">
        <v>79</v>
      </c>
      <c r="B41" s="488"/>
      <c r="C41" s="488"/>
      <c r="D41" s="488"/>
      <c r="E41" s="488"/>
      <c r="F41" s="488"/>
      <c r="G41" s="488"/>
      <c r="H41" s="488"/>
      <c r="I41" s="488"/>
      <c r="J41" s="488"/>
      <c r="K41" s="488"/>
      <c r="L41" s="488"/>
      <c r="M41" s="488"/>
      <c r="N41" s="488"/>
      <c r="O41" s="488"/>
      <c r="P41" s="488"/>
      <c r="Q41" s="488"/>
      <c r="R41" s="488"/>
      <c r="S41" s="488"/>
      <c r="T41" s="488"/>
      <c r="U41" s="488"/>
      <c r="V41" s="488"/>
      <c r="W41" s="489"/>
    </row>
    <row r="42" spans="1:39" ht="105.75" thickBot="1">
      <c r="B42" s="142" t="s">
        <v>78</v>
      </c>
      <c r="C42" s="144" t="s">
        <v>18</v>
      </c>
      <c r="D42" s="36" t="s">
        <v>80</v>
      </c>
      <c r="E42" s="143" t="s">
        <v>20</v>
      </c>
      <c r="F42" s="142" t="s">
        <v>81</v>
      </c>
      <c r="G42" s="144" t="s">
        <v>82</v>
      </c>
      <c r="H42" s="36" t="s">
        <v>83</v>
      </c>
      <c r="I42" s="144" t="s">
        <v>84</v>
      </c>
      <c r="J42" s="142" t="s">
        <v>19</v>
      </c>
      <c r="K42" s="144" t="s">
        <v>21</v>
      </c>
      <c r="L42" s="141" t="s">
        <v>16</v>
      </c>
      <c r="M42" s="145" t="s">
        <v>17</v>
      </c>
      <c r="N42" s="142" t="s">
        <v>85</v>
      </c>
      <c r="O42" s="144" t="s">
        <v>86</v>
      </c>
      <c r="P42" s="142" t="s">
        <v>157</v>
      </c>
      <c r="Q42" s="144" t="s">
        <v>87</v>
      </c>
      <c r="R42" s="142" t="s">
        <v>35</v>
      </c>
      <c r="S42" s="144" t="s">
        <v>22</v>
      </c>
      <c r="T42" s="142" t="s">
        <v>88</v>
      </c>
      <c r="U42" s="144" t="s">
        <v>89</v>
      </c>
      <c r="V42" s="142" t="s">
        <v>90</v>
      </c>
      <c r="W42" s="144" t="s">
        <v>91</v>
      </c>
      <c r="AF42" s="18"/>
      <c r="AG42" s="18"/>
      <c r="AH42" s="18"/>
      <c r="AI42" s="18"/>
      <c r="AJ42" s="18"/>
    </row>
    <row r="43" spans="1:39">
      <c r="A43" s="148" t="s">
        <v>1</v>
      </c>
      <c r="B43" s="149">
        <v>1</v>
      </c>
      <c r="C43" s="146"/>
      <c r="D43" s="254">
        <v>49.5</v>
      </c>
      <c r="E43" s="255">
        <f>52.9+376.6</f>
        <v>429.5</v>
      </c>
      <c r="F43" s="149">
        <v>0</v>
      </c>
      <c r="G43" s="243">
        <f>+F43*B43</f>
        <v>0</v>
      </c>
      <c r="H43" s="254">
        <v>27.5</v>
      </c>
      <c r="I43" s="243">
        <f>+H43*B43</f>
        <v>27.5</v>
      </c>
      <c r="J43" s="149">
        <v>0</v>
      </c>
      <c r="K43" s="243">
        <f>+J43*0.15</f>
        <v>0</v>
      </c>
      <c r="L43" s="261">
        <v>0</v>
      </c>
      <c r="M43" s="244">
        <v>0</v>
      </c>
      <c r="N43" s="263">
        <v>8</v>
      </c>
      <c r="O43" s="243">
        <f>+N43*B43</f>
        <v>8</v>
      </c>
      <c r="P43" s="149">
        <v>0</v>
      </c>
      <c r="Q43" s="243">
        <f>+P43*B43</f>
        <v>0</v>
      </c>
      <c r="R43" s="263">
        <v>0</v>
      </c>
      <c r="S43" s="243">
        <v>0</v>
      </c>
      <c r="T43" s="263">
        <v>33.799999999999997</v>
      </c>
      <c r="U43" s="243">
        <f>+T43*B43</f>
        <v>33.799999999999997</v>
      </c>
      <c r="V43" s="263">
        <v>26.9</v>
      </c>
      <c r="W43" s="243">
        <f>+V43*B43</f>
        <v>26.9</v>
      </c>
      <c r="AF43" s="18"/>
      <c r="AG43" s="18"/>
      <c r="AH43" s="18"/>
      <c r="AI43" s="18"/>
      <c r="AJ43" s="18"/>
    </row>
    <row r="44" spans="1:39">
      <c r="A44" s="147" t="s">
        <v>159</v>
      </c>
      <c r="B44" s="240">
        <v>2</v>
      </c>
      <c r="C44" s="34">
        <v>2.25</v>
      </c>
      <c r="D44" s="245">
        <v>0</v>
      </c>
      <c r="E44" s="246">
        <v>0</v>
      </c>
      <c r="F44" s="256">
        <f>3.5+4.2+3.3+3+2.7+(4.6+3)</f>
        <v>24.299999999999997</v>
      </c>
      <c r="G44" s="150">
        <f>+F44*B44</f>
        <v>48.599999999999994</v>
      </c>
      <c r="H44" s="258">
        <f>4.6+28.9+4+4+4+4.6+4.4</f>
        <v>54.5</v>
      </c>
      <c r="I44" s="150">
        <f>+H44*B44</f>
        <v>109</v>
      </c>
      <c r="J44" s="240">
        <v>0</v>
      </c>
      <c r="K44" s="150">
        <v>0</v>
      </c>
      <c r="L44" s="262">
        <f>10.8+8.3+23.7+19.8+1.8+9.2+16.6+11.8+9+17.4+(22.8+8.5+10.7+26)</f>
        <v>196.39999999999998</v>
      </c>
      <c r="M44" s="247">
        <f>+L44*D23</f>
        <v>392.79999999999995</v>
      </c>
      <c r="N44" s="256">
        <v>8</v>
      </c>
      <c r="O44" s="150">
        <f>+N44*B44</f>
        <v>16</v>
      </c>
      <c r="P44" s="256">
        <f>9+8.5+9.1+8.8+9.1+8.8</f>
        <v>53.300000000000011</v>
      </c>
      <c r="Q44" s="150">
        <f>+P44*B44</f>
        <v>106.60000000000002</v>
      </c>
      <c r="R44" s="256">
        <f>+(3.6+3.6+2.9+2.9+2.8+2.8)*1.2</f>
        <v>22.32</v>
      </c>
      <c r="S44" s="150">
        <f>+R44*B44</f>
        <v>44.64</v>
      </c>
      <c r="T44" s="256">
        <f>15.4+11.7+24.3+21.4+5.7+12.2+21.6+14.3+12+18.5+50.3+(25.2+12.7+15+26.1)</f>
        <v>286.40000000000003</v>
      </c>
      <c r="U44" s="150">
        <f>+T44*B44</f>
        <v>572.80000000000007</v>
      </c>
      <c r="V44" s="256">
        <f>3.5+4.2+11.2+9.3</f>
        <v>28.2</v>
      </c>
      <c r="W44" s="150">
        <f>+V44*B44</f>
        <v>56.4</v>
      </c>
      <c r="AF44" s="18"/>
      <c r="AG44" s="18"/>
      <c r="AH44" s="18"/>
      <c r="AI44" s="18"/>
      <c r="AJ44" s="18"/>
    </row>
    <row r="45" spans="1:39">
      <c r="A45" s="147" t="s">
        <v>154</v>
      </c>
      <c r="B45" s="240">
        <v>1</v>
      </c>
      <c r="C45" s="34">
        <v>2.25</v>
      </c>
      <c r="D45" s="245">
        <v>0</v>
      </c>
      <c r="E45" s="246">
        <v>0</v>
      </c>
      <c r="F45" s="256">
        <f>3.5+4.2+3.3+3+2.7+(16.5+8.9)</f>
        <v>42.099999999999994</v>
      </c>
      <c r="G45" s="150">
        <f>+F45*B45</f>
        <v>42.099999999999994</v>
      </c>
      <c r="H45" s="258">
        <f>+H44</f>
        <v>54.5</v>
      </c>
      <c r="I45" s="150">
        <f>+H45*B45</f>
        <v>54.5</v>
      </c>
      <c r="J45" s="240">
        <v>0</v>
      </c>
      <c r="K45" s="150">
        <v>0</v>
      </c>
      <c r="L45" s="262">
        <f>10.8+8.3+23.7+19.8+1.8+9.2+16.6+11.8+9+17.4+(17.9+12.5+20.1)</f>
        <v>178.89999999999998</v>
      </c>
      <c r="M45" s="247">
        <f>+L45*B45</f>
        <v>178.89999999999998</v>
      </c>
      <c r="N45" s="256">
        <v>8</v>
      </c>
      <c r="O45" s="150">
        <f>+N45*B45</f>
        <v>8</v>
      </c>
      <c r="P45" s="256">
        <f>+P44</f>
        <v>53.300000000000011</v>
      </c>
      <c r="Q45" s="150">
        <f t="shared" ref="Q45:Q46" si="7">+P45*B45</f>
        <v>53.300000000000011</v>
      </c>
      <c r="R45" s="256">
        <f>+R44</f>
        <v>22.32</v>
      </c>
      <c r="S45" s="150">
        <f>+R45*B45</f>
        <v>22.32</v>
      </c>
      <c r="T45" s="256">
        <f>15.4+11.7+24.3+21.4+5.7+12.2+21.6+14.3+12+18.5+50.3+(20.2+15+22.2)</f>
        <v>264.80000000000007</v>
      </c>
      <c r="U45" s="150">
        <f>+T45*B45</f>
        <v>264.80000000000007</v>
      </c>
      <c r="V45" s="256">
        <f>+V44</f>
        <v>28.2</v>
      </c>
      <c r="W45" s="150">
        <f>+V45*B45</f>
        <v>28.2</v>
      </c>
      <c r="AF45" s="18"/>
      <c r="AG45" s="18"/>
      <c r="AH45" s="18"/>
      <c r="AI45" s="18"/>
      <c r="AJ45" s="18"/>
    </row>
    <row r="46" spans="1:39">
      <c r="A46" s="147" t="s">
        <v>155</v>
      </c>
      <c r="B46" s="249">
        <v>2</v>
      </c>
      <c r="C46" s="34">
        <v>2.25</v>
      </c>
      <c r="D46" s="245">
        <v>0</v>
      </c>
      <c r="E46" s="248">
        <v>0</v>
      </c>
      <c r="F46" s="256">
        <f>3.5+4.2+3.3+3+2.7+(17.9)</f>
        <v>34.599999999999994</v>
      </c>
      <c r="G46" s="150">
        <f>+B46*F46</f>
        <v>69.199999999999989</v>
      </c>
      <c r="H46" s="258">
        <f>+H44</f>
        <v>54.5</v>
      </c>
      <c r="I46" s="150">
        <f>+H46*B46</f>
        <v>109</v>
      </c>
      <c r="J46" s="249">
        <v>0</v>
      </c>
      <c r="K46" s="150">
        <v>0</v>
      </c>
      <c r="L46" s="262">
        <f>+L45</f>
        <v>178.89999999999998</v>
      </c>
      <c r="M46" s="247">
        <f>+L46*D24</f>
        <v>357.79999999999995</v>
      </c>
      <c r="N46" s="264">
        <f>+N44</f>
        <v>8</v>
      </c>
      <c r="O46" s="150">
        <f>+N46*B46</f>
        <v>16</v>
      </c>
      <c r="P46" s="264">
        <f>+P44</f>
        <v>53.300000000000011</v>
      </c>
      <c r="Q46" s="150">
        <f t="shared" si="7"/>
        <v>106.60000000000002</v>
      </c>
      <c r="R46" s="264">
        <f>+R44</f>
        <v>22.32</v>
      </c>
      <c r="S46" s="150">
        <f>+R46*B46</f>
        <v>44.64</v>
      </c>
      <c r="T46" s="264">
        <f>+T45</f>
        <v>264.80000000000007</v>
      </c>
      <c r="U46" s="150">
        <f>+T46*B46</f>
        <v>529.60000000000014</v>
      </c>
      <c r="V46" s="264">
        <f>+V44</f>
        <v>28.2</v>
      </c>
      <c r="W46" s="150">
        <f>+V46*B46</f>
        <v>56.4</v>
      </c>
      <c r="AF46" s="18"/>
      <c r="AG46" s="18"/>
      <c r="AH46" s="18"/>
      <c r="AI46" s="18"/>
      <c r="AJ46" s="18"/>
    </row>
    <row r="47" spans="1:39" ht="15.75" thickBot="1">
      <c r="A47" s="241" t="s">
        <v>150</v>
      </c>
      <c r="B47" s="251">
        <v>1</v>
      </c>
      <c r="C47" s="242">
        <v>2.25</v>
      </c>
      <c r="D47" s="250">
        <v>0</v>
      </c>
      <c r="E47" s="212">
        <v>0</v>
      </c>
      <c r="F47" s="257">
        <v>46.5</v>
      </c>
      <c r="G47" s="252">
        <f>+F47*B47</f>
        <v>46.5</v>
      </c>
      <c r="H47" s="259">
        <f>4.1+8.1+30</f>
        <v>42.2</v>
      </c>
      <c r="I47" s="252">
        <f>+H47*B47</f>
        <v>42.2</v>
      </c>
      <c r="J47" s="251">
        <v>0</v>
      </c>
      <c r="K47" s="252">
        <v>0</v>
      </c>
      <c r="L47" s="260">
        <v>0</v>
      </c>
      <c r="M47" s="253">
        <f>+L47*D25</f>
        <v>0</v>
      </c>
      <c r="N47" s="257">
        <f>+N45</f>
        <v>8</v>
      </c>
      <c r="O47" s="252">
        <f>+N47*B47</f>
        <v>8</v>
      </c>
      <c r="P47" s="257">
        <v>8.5</v>
      </c>
      <c r="Q47" s="252">
        <f>+P47*C47*B47</f>
        <v>19.125</v>
      </c>
      <c r="R47" s="257">
        <f>5.1*1.2</f>
        <v>6.1199999999999992</v>
      </c>
      <c r="S47" s="252">
        <f>+R47*B47</f>
        <v>6.1199999999999992</v>
      </c>
      <c r="T47" s="257">
        <f>24.2+13.9</f>
        <v>38.1</v>
      </c>
      <c r="U47" s="252">
        <f>+T47*B47</f>
        <v>38.1</v>
      </c>
      <c r="V47" s="257">
        <v>0</v>
      </c>
      <c r="W47" s="252">
        <f>+V47*B47</f>
        <v>0</v>
      </c>
      <c r="AF47" s="18"/>
      <c r="AG47" s="18"/>
      <c r="AH47" s="18"/>
      <c r="AI47" s="18"/>
      <c r="AJ47" s="18"/>
    </row>
    <row r="48" spans="1:39" ht="15.75" thickBot="1">
      <c r="A48" s="173" t="s">
        <v>23</v>
      </c>
      <c r="B48" s="174"/>
      <c r="C48" s="175"/>
      <c r="D48" s="176">
        <f>SUM(D43:D46)</f>
        <v>49.5</v>
      </c>
      <c r="E48" s="177">
        <f>SUM(E43:E46)</f>
        <v>429.5</v>
      </c>
      <c r="F48" s="178"/>
      <c r="G48" s="179">
        <f>SUM(G43:G46)</f>
        <v>159.89999999999998</v>
      </c>
      <c r="H48" s="178"/>
      <c r="I48" s="179">
        <f>SUM(I43:I46)</f>
        <v>300</v>
      </c>
      <c r="J48" s="178"/>
      <c r="K48" s="179">
        <f>SUM(K43:K46)</f>
        <v>0</v>
      </c>
      <c r="L48" s="180"/>
      <c r="M48" s="179">
        <f>SUM(M43:M46)</f>
        <v>929.49999999999989</v>
      </c>
      <c r="N48" s="178"/>
      <c r="O48" s="179">
        <f>SUM(O43:O46)</f>
        <v>48</v>
      </c>
      <c r="P48" s="178"/>
      <c r="Q48" s="179">
        <f>SUM(Q43:Q46)</f>
        <v>266.50000000000006</v>
      </c>
      <c r="R48" s="178"/>
      <c r="S48" s="179">
        <f>SUM(S43:S46)</f>
        <v>111.60000000000001</v>
      </c>
      <c r="T48" s="181"/>
      <c r="U48" s="179">
        <f>SUM(U43:U46)</f>
        <v>1401.0000000000002</v>
      </c>
      <c r="V48" s="178"/>
      <c r="W48" s="179">
        <f>SUM(W43:W46)</f>
        <v>167.9</v>
      </c>
      <c r="AF48" s="18"/>
      <c r="AG48" s="18"/>
      <c r="AH48" s="18"/>
      <c r="AI48" s="18"/>
      <c r="AJ48" s="18"/>
      <c r="AK48" s="18"/>
      <c r="AL48" s="18"/>
      <c r="AM48" s="18"/>
    </row>
    <row r="49" spans="1:38" ht="27" customHeight="1" thickBot="1">
      <c r="A49" s="190" t="s">
        <v>92</v>
      </c>
      <c r="B49" s="191">
        <v>0.1</v>
      </c>
      <c r="C49" s="14"/>
      <c r="D49" s="192">
        <f>+D48*B49</f>
        <v>4.95</v>
      </c>
      <c r="E49" s="193">
        <v>0</v>
      </c>
      <c r="F49" s="194"/>
      <c r="G49" s="195">
        <f>+G48*B49</f>
        <v>15.989999999999998</v>
      </c>
      <c r="H49" s="194"/>
      <c r="I49" s="195">
        <f>+I48*B49</f>
        <v>30</v>
      </c>
      <c r="J49" s="194"/>
      <c r="K49" s="195">
        <v>0</v>
      </c>
      <c r="L49" s="194"/>
      <c r="M49" s="195">
        <f>+M48*B49</f>
        <v>92.949999999999989</v>
      </c>
      <c r="N49" s="194"/>
      <c r="O49" s="195">
        <v>0</v>
      </c>
      <c r="P49" s="194"/>
      <c r="Q49" s="195">
        <f>+Q48*B49</f>
        <v>26.650000000000006</v>
      </c>
      <c r="R49" s="194"/>
      <c r="S49" s="195">
        <f>+S48*B49</f>
        <v>11.160000000000002</v>
      </c>
      <c r="T49" s="196"/>
      <c r="U49" s="195">
        <v>0</v>
      </c>
      <c r="V49" s="194"/>
      <c r="W49" s="195">
        <v>0</v>
      </c>
      <c r="AF49" s="18"/>
      <c r="AG49" s="18"/>
      <c r="AH49" s="18"/>
      <c r="AI49" s="18"/>
      <c r="AJ49" s="18"/>
      <c r="AK49" s="18"/>
      <c r="AL49" s="18"/>
    </row>
    <row r="50" spans="1:38" ht="42" customHeight="1" thickBot="1">
      <c r="A50" s="182" t="s">
        <v>93</v>
      </c>
      <c r="B50" s="183"/>
      <c r="C50" s="184"/>
      <c r="D50" s="185">
        <f>SUM(D48:D49)</f>
        <v>54.45</v>
      </c>
      <c r="E50" s="186"/>
      <c r="F50" s="187"/>
      <c r="G50" s="185">
        <f>SUM(G48:G49)</f>
        <v>175.89</v>
      </c>
      <c r="H50" s="187"/>
      <c r="I50" s="185">
        <f>SUM(I48:I49)</f>
        <v>330</v>
      </c>
      <c r="J50" s="187"/>
      <c r="K50" s="185">
        <f>SUM(K48:K49)</f>
        <v>0</v>
      </c>
      <c r="L50" s="187"/>
      <c r="M50" s="185">
        <f>SUM(M48:M49)</f>
        <v>1022.4499999999998</v>
      </c>
      <c r="N50" s="187"/>
      <c r="O50" s="185">
        <f>SUM(O48:O49)</f>
        <v>48</v>
      </c>
      <c r="P50" s="187"/>
      <c r="Q50" s="185">
        <f>SUM(Q48:Q49)</f>
        <v>293.15000000000009</v>
      </c>
      <c r="R50" s="187"/>
      <c r="S50" s="185">
        <f>SUM(S48:S49)</f>
        <v>122.76</v>
      </c>
      <c r="T50" s="188"/>
      <c r="U50" s="189">
        <f>SUM(U48:U49)</f>
        <v>1401.0000000000002</v>
      </c>
      <c r="V50" s="187"/>
      <c r="W50" s="189">
        <f>SUM(W48:W49)</f>
        <v>167.9</v>
      </c>
      <c r="AF50" s="18"/>
      <c r="AG50" s="18"/>
      <c r="AH50" s="18"/>
      <c r="AI50" s="18"/>
      <c r="AJ50" s="18"/>
      <c r="AK50" s="18"/>
    </row>
    <row r="51" spans="1:38">
      <c r="M51" s="37"/>
      <c r="N51" s="37"/>
    </row>
    <row r="52" spans="1:38" ht="15.75" thickBot="1">
      <c r="A52" s="7"/>
      <c r="B52" s="7"/>
    </row>
    <row r="53" spans="1:38" ht="19.5" thickBot="1">
      <c r="A53" s="487" t="s">
        <v>94</v>
      </c>
      <c r="B53" s="488"/>
      <c r="C53" s="488"/>
      <c r="D53" s="488"/>
      <c r="E53" s="488"/>
      <c r="F53" s="488"/>
      <c r="G53" s="489"/>
      <c r="H53" s="134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</row>
    <row r="54" spans="1:38" ht="120.75" thickBot="1">
      <c r="A54" s="266"/>
      <c r="B54" s="272" t="s">
        <v>78</v>
      </c>
      <c r="C54" s="268" t="s">
        <v>27</v>
      </c>
      <c r="D54" s="11" t="s">
        <v>28</v>
      </c>
      <c r="E54" s="11" t="s">
        <v>160</v>
      </c>
      <c r="F54" s="12" t="s">
        <v>30</v>
      </c>
      <c r="G54" s="14" t="s">
        <v>29</v>
      </c>
    </row>
    <row r="55" spans="1:38">
      <c r="A55" s="265" t="s">
        <v>1</v>
      </c>
      <c r="B55" s="273">
        <v>1</v>
      </c>
      <c r="C55" s="269"/>
      <c r="D55" s="23"/>
      <c r="E55" s="23"/>
      <c r="F55" s="24"/>
      <c r="G55" s="25"/>
    </row>
    <row r="56" spans="1:38">
      <c r="A56" s="147" t="s">
        <v>159</v>
      </c>
      <c r="B56" s="248">
        <v>2</v>
      </c>
      <c r="C56" s="270"/>
      <c r="D56" s="32"/>
      <c r="E56" s="279">
        <f>+(F44+H44-28.9)*B56+(Q44*0.4)</f>
        <v>142.44</v>
      </c>
      <c r="F56" s="247">
        <f>+N9</f>
        <v>155.82000000000002</v>
      </c>
      <c r="G56" s="33"/>
    </row>
    <row r="57" spans="1:38">
      <c r="A57" s="147" t="s">
        <v>154</v>
      </c>
      <c r="B57" s="248">
        <v>1</v>
      </c>
      <c r="C57" s="262">
        <f>16.5+8.9</f>
        <v>25.4</v>
      </c>
      <c r="D57" s="279">
        <f>+C57*2</f>
        <v>50.8</v>
      </c>
      <c r="E57" s="279">
        <f>+(F45-16.5-12+H45-28.9)*B57+(Q45*0.4)</f>
        <v>60.52</v>
      </c>
      <c r="F57" s="247">
        <f>+N13/3</f>
        <v>61.005000000000003</v>
      </c>
      <c r="G57" s="280">
        <f>+(16.5+8.9)*1.2</f>
        <v>30.479999999999997</v>
      </c>
    </row>
    <row r="58" spans="1:38">
      <c r="A58" s="147" t="s">
        <v>155</v>
      </c>
      <c r="B58" s="248">
        <v>2</v>
      </c>
      <c r="C58" s="270"/>
      <c r="D58" s="197"/>
      <c r="E58" s="279">
        <f>+E56</f>
        <v>142.44</v>
      </c>
      <c r="F58" s="247">
        <f>+F57*2</f>
        <v>122.01</v>
      </c>
      <c r="G58" s="150"/>
    </row>
    <row r="59" spans="1:38">
      <c r="A59" s="147" t="s">
        <v>150</v>
      </c>
      <c r="B59" s="248">
        <v>1</v>
      </c>
      <c r="C59" s="276">
        <f>46.5+56.6+128.9</f>
        <v>232</v>
      </c>
      <c r="D59" s="279">
        <f>+(46.5+56.6)*2+128.9</f>
        <v>335.1</v>
      </c>
      <c r="E59" s="279">
        <f>4.1+Q47*0.4</f>
        <v>11.75</v>
      </c>
      <c r="F59" s="247">
        <f>+N16</f>
        <v>36.260000000000005</v>
      </c>
      <c r="G59" s="280">
        <f>+(46.5+56.6+128.9)*1.1</f>
        <v>255.20000000000002</v>
      </c>
    </row>
    <row r="60" spans="1:38" ht="15.75" thickBot="1">
      <c r="A60" s="1" t="s">
        <v>158</v>
      </c>
      <c r="B60" s="275">
        <v>1</v>
      </c>
      <c r="C60" s="277">
        <v>18</v>
      </c>
      <c r="D60" s="278">
        <f>+C60</f>
        <v>18</v>
      </c>
      <c r="E60" s="278">
        <v>5</v>
      </c>
      <c r="F60" s="120"/>
      <c r="G60" s="281">
        <f>+C60*1.2</f>
        <v>21.599999999999998</v>
      </c>
    </row>
    <row r="61" spans="1:38" ht="15.75" thickBot="1">
      <c r="A61" s="267" t="s">
        <v>23</v>
      </c>
      <c r="B61" s="274"/>
      <c r="C61" s="271">
        <f>SUM(C55:C60)</f>
        <v>275.39999999999998</v>
      </c>
      <c r="D61" s="161">
        <f>SUM(D55:D60)</f>
        <v>403.90000000000003</v>
      </c>
      <c r="E61" s="161">
        <f>SUM(E55:E60)</f>
        <v>362.15</v>
      </c>
      <c r="F61" s="162">
        <f>SUM(F56:F60)</f>
        <v>375.09500000000003</v>
      </c>
      <c r="G61" s="163">
        <f>SUM(G56:G60)</f>
        <v>307.28000000000003</v>
      </c>
    </row>
    <row r="63" spans="1:38" ht="15.75" thickBot="1">
      <c r="A63" s="7"/>
      <c r="B63" s="7"/>
    </row>
    <row r="64" spans="1:38" ht="19.5" thickBot="1">
      <c r="A64" s="487" t="s">
        <v>96</v>
      </c>
      <c r="B64" s="488"/>
      <c r="C64" s="488"/>
      <c r="D64" s="488"/>
      <c r="E64" s="488"/>
      <c r="F64" s="488"/>
      <c r="G64" s="488"/>
      <c r="H64" s="489"/>
    </row>
    <row r="65" spans="1:31" ht="150.75" thickBot="1">
      <c r="A65" s="10"/>
      <c r="B65" s="77"/>
      <c r="C65" s="11" t="s">
        <v>31</v>
      </c>
      <c r="D65" s="11" t="s">
        <v>32</v>
      </c>
      <c r="E65" s="11" t="s">
        <v>130</v>
      </c>
      <c r="F65" s="11" t="s">
        <v>33</v>
      </c>
      <c r="G65" s="11" t="s">
        <v>161</v>
      </c>
      <c r="H65" s="14" t="s">
        <v>34</v>
      </c>
    </row>
    <row r="66" spans="1:31">
      <c r="A66" s="9" t="s">
        <v>1</v>
      </c>
      <c r="B66" s="78"/>
      <c r="C66" s="282">
        <f>52.9+376.6</f>
        <v>429.5</v>
      </c>
      <c r="D66" s="23"/>
      <c r="E66" s="38"/>
      <c r="F66" s="23"/>
      <c r="G66" s="23"/>
      <c r="H66" s="25"/>
    </row>
    <row r="67" spans="1:31">
      <c r="A67" s="8" t="s">
        <v>162</v>
      </c>
      <c r="B67" s="79"/>
      <c r="C67" s="32"/>
      <c r="D67" s="279">
        <f>+G48+I48-27.6-28.9*5-8</f>
        <v>279.79999999999995</v>
      </c>
      <c r="E67" s="279">
        <f>+M48+28.9*5+8.1+30</f>
        <v>1112.0999999999999</v>
      </c>
      <c r="F67" s="279">
        <f>16.5+8.9+46.5+56.6+128.9+18</f>
        <v>275.39999999999998</v>
      </c>
      <c r="G67" s="32"/>
      <c r="H67" s="33"/>
    </row>
    <row r="68" spans="1:31" ht="15.75" thickBot="1">
      <c r="A68" s="156" t="s">
        <v>23</v>
      </c>
      <c r="B68" s="157"/>
      <c r="C68" s="152">
        <f>SUM(C66:C67)</f>
        <v>429.5</v>
      </c>
      <c r="D68" s="152">
        <f>SUM(D66:D67)</f>
        <v>279.79999999999995</v>
      </c>
      <c r="E68" s="152">
        <f>SUM(E66:E67)</f>
        <v>1112.0999999999999</v>
      </c>
      <c r="F68" s="152">
        <f>SUM(F67:F67)</f>
        <v>275.39999999999998</v>
      </c>
      <c r="G68" s="158">
        <f>SUM(G67:G67)</f>
        <v>0</v>
      </c>
      <c r="H68" s="159">
        <f>SUM(H66:H67)</f>
        <v>0</v>
      </c>
    </row>
    <row r="70" spans="1:31" ht="15.75" thickBot="1"/>
    <row r="71" spans="1:31" ht="19.5" thickBot="1">
      <c r="A71" s="138" t="s">
        <v>97</v>
      </c>
      <c r="B71" s="139"/>
      <c r="C71" s="139"/>
      <c r="D71" s="139"/>
      <c r="E71" s="139"/>
      <c r="F71" s="139"/>
      <c r="G71" s="140"/>
      <c r="H71" s="134"/>
    </row>
    <row r="72" spans="1:31" ht="75.75" thickBot="1">
      <c r="A72" s="10"/>
      <c r="B72" s="77"/>
      <c r="C72" s="11" t="s">
        <v>99</v>
      </c>
      <c r="D72" s="11" t="s">
        <v>100</v>
      </c>
      <c r="E72" s="11" t="s">
        <v>98</v>
      </c>
      <c r="F72" s="11" t="s">
        <v>101</v>
      </c>
      <c r="G72" s="14" t="s">
        <v>102</v>
      </c>
      <c r="AE72"/>
    </row>
    <row r="73" spans="1:31">
      <c r="A73" s="9" t="s">
        <v>1</v>
      </c>
      <c r="B73" s="78"/>
      <c r="C73" s="283">
        <f>+P7</f>
        <v>14</v>
      </c>
      <c r="D73" s="282">
        <f>+G43</f>
        <v>0</v>
      </c>
      <c r="E73" s="23">
        <v>0</v>
      </c>
      <c r="F73" s="282">
        <f>+L22</f>
        <v>126.36000000000003</v>
      </c>
      <c r="G73" s="284">
        <f>+P22/3+F22</f>
        <v>446.76</v>
      </c>
      <c r="AE73"/>
    </row>
    <row r="74" spans="1:31">
      <c r="A74" s="8" t="s">
        <v>159</v>
      </c>
      <c r="B74" s="79"/>
      <c r="C74" s="279">
        <f>+Q8</f>
        <v>111.79999999999998</v>
      </c>
      <c r="D74" s="279">
        <f>+M44+12*2</f>
        <v>416.79999999999995</v>
      </c>
      <c r="E74" s="279">
        <f>+G44</f>
        <v>48.599999999999994</v>
      </c>
      <c r="F74" s="279">
        <f>+L23+N9</f>
        <v>1406.2199999999998</v>
      </c>
      <c r="G74" s="280">
        <f>+F23+F24+F25+F26</f>
        <v>267.56</v>
      </c>
      <c r="AE74"/>
    </row>
    <row r="75" spans="1:31">
      <c r="A75" s="8" t="s">
        <v>154</v>
      </c>
      <c r="B75" s="79"/>
      <c r="C75" s="279">
        <f>+P12</f>
        <v>55.899999999999991</v>
      </c>
      <c r="D75" s="279">
        <f>+M45+12*1</f>
        <v>190.89999999999998</v>
      </c>
      <c r="E75" s="279">
        <f>+E76/2</f>
        <v>34.599999999999994</v>
      </c>
      <c r="F75" s="279">
        <f>+L27+N13/3</f>
        <v>637.005</v>
      </c>
      <c r="G75" s="280">
        <f>+F27+F28+F29+F30</f>
        <v>135.54000000000002</v>
      </c>
      <c r="AE75"/>
    </row>
    <row r="76" spans="1:31">
      <c r="A76" s="8" t="s">
        <v>155</v>
      </c>
      <c r="B76" s="79"/>
      <c r="C76" s="279">
        <f>+P12*2</f>
        <v>111.79999999999998</v>
      </c>
      <c r="D76" s="279">
        <f>+M46+12*2</f>
        <v>381.79999999999995</v>
      </c>
      <c r="E76" s="279">
        <f>+G46</f>
        <v>69.199999999999989</v>
      </c>
      <c r="F76" s="279">
        <f>+L31+N13/3*2</f>
        <v>1274.01</v>
      </c>
      <c r="G76" s="280">
        <f>+F31+F32+F33+F34</f>
        <v>251.76</v>
      </c>
      <c r="AE76"/>
    </row>
    <row r="77" spans="1:31">
      <c r="A77" s="8" t="s">
        <v>95</v>
      </c>
      <c r="B77" s="79"/>
      <c r="C77" s="279">
        <f>+P16</f>
        <v>39.9</v>
      </c>
      <c r="D77" s="279"/>
      <c r="E77" s="197"/>
      <c r="F77" s="279">
        <f>+L36+N16</f>
        <v>126.86</v>
      </c>
      <c r="G77" s="280">
        <f>+F35+F36+F37</f>
        <v>419.5619999999999</v>
      </c>
      <c r="AE77"/>
    </row>
    <row r="78" spans="1:31" ht="15.75" thickBot="1">
      <c r="A78" s="156" t="s">
        <v>23</v>
      </c>
      <c r="B78" s="157"/>
      <c r="C78" s="152">
        <f>SUM(C73:C77)</f>
        <v>333.4</v>
      </c>
      <c r="D78" s="152">
        <f>SUM(D73:D77)</f>
        <v>989.49999999999989</v>
      </c>
      <c r="E78" s="152">
        <f>SUM(E74:E77)</f>
        <v>152.39999999999998</v>
      </c>
      <c r="F78" s="152">
        <f>SUM(F74:F77)</f>
        <v>3444.0949999999998</v>
      </c>
      <c r="G78" s="151">
        <f>SUM(G73:G77)</f>
        <v>1521.1819999999998</v>
      </c>
      <c r="AE78"/>
    </row>
    <row r="80" spans="1:31">
      <c r="D80" s="206"/>
    </row>
    <row r="81" spans="2:4">
      <c r="B81">
        <f>400+600+300+250+400+300+900+600+350</f>
        <v>4100</v>
      </c>
      <c r="C81" s="80">
        <f>154000/42</f>
        <v>3666.6666666666665</v>
      </c>
      <c r="D81" s="80">
        <f>+C81-B81</f>
        <v>-433.33333333333348</v>
      </c>
    </row>
    <row r="82" spans="2:4">
      <c r="B82">
        <v>980</v>
      </c>
      <c r="C82" s="80">
        <f>32000/42</f>
        <v>761.90476190476193</v>
      </c>
      <c r="D82" s="80">
        <f>+C82-B82</f>
        <v>-218.09523809523807</v>
      </c>
    </row>
  </sheetData>
  <mergeCells count="12">
    <mergeCell ref="A8:A11"/>
    <mergeCell ref="A5:U5"/>
    <mergeCell ref="A53:G53"/>
    <mergeCell ref="A64:H64"/>
    <mergeCell ref="A12:A15"/>
    <mergeCell ref="A41:W41"/>
    <mergeCell ref="A23:A26"/>
    <mergeCell ref="A31:A34"/>
    <mergeCell ref="A35:A37"/>
    <mergeCell ref="A20:P20"/>
    <mergeCell ref="O7:O16"/>
    <mergeCell ref="A27:A30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zoomScale="70" zoomScaleNormal="70" workbookViewId="0">
      <selection activeCell="N14" sqref="N14"/>
    </sheetView>
  </sheetViews>
  <sheetFormatPr baseColWidth="10" defaultRowHeight="15"/>
  <cols>
    <col min="1" max="1" width="29.7109375" style="39" customWidth="1"/>
    <col min="2" max="2" width="35" style="39" customWidth="1"/>
    <col min="3" max="10" width="13.7109375" style="39" customWidth="1"/>
  </cols>
  <sheetData>
    <row r="1" spans="1:10" ht="54.6" customHeight="1">
      <c r="A1" s="41"/>
      <c r="B1" s="42"/>
      <c r="C1" s="43"/>
      <c r="D1" s="44"/>
      <c r="E1" s="45"/>
      <c r="F1" s="42"/>
      <c r="G1" s="42"/>
      <c r="H1" s="42"/>
      <c r="I1" s="42"/>
      <c r="J1" s="46">
        <v>45776</v>
      </c>
    </row>
    <row r="2" spans="1:10">
      <c r="A2" s="1"/>
      <c r="C2" s="47"/>
      <c r="D2" s="40"/>
      <c r="E2"/>
      <c r="J2" s="48"/>
    </row>
    <row r="3" spans="1:10" ht="18.75">
      <c r="A3" s="49" t="s">
        <v>57</v>
      </c>
      <c r="B3" s="76" t="s">
        <v>146</v>
      </c>
      <c r="C3" s="50"/>
      <c r="D3" s="51"/>
      <c r="E3" s="52"/>
      <c r="F3" s="53"/>
      <c r="G3" s="53"/>
      <c r="H3" s="53"/>
      <c r="I3" s="53"/>
      <c r="J3" s="54" t="s">
        <v>58</v>
      </c>
    </row>
    <row r="4" spans="1:10" ht="29.45" customHeight="1">
      <c r="A4" s="55"/>
      <c r="B4" s="39" t="s">
        <v>39</v>
      </c>
      <c r="C4" s="56" t="s">
        <v>40</v>
      </c>
      <c r="D4" s="56" t="s">
        <v>127</v>
      </c>
      <c r="J4" s="48"/>
    </row>
    <row r="5" spans="1:10">
      <c r="A5" s="62" t="s">
        <v>36</v>
      </c>
      <c r="B5" s="63">
        <v>19</v>
      </c>
      <c r="C5" s="63">
        <v>1.3</v>
      </c>
      <c r="D5" s="63">
        <f>+B5*C5</f>
        <v>24.7</v>
      </c>
      <c r="E5" s="63"/>
      <c r="F5" s="63"/>
      <c r="G5" s="63"/>
      <c r="H5" s="63"/>
      <c r="I5" s="63"/>
      <c r="J5" s="64"/>
    </row>
    <row r="6" spans="1:10" s="40" customFormat="1" ht="32.450000000000003" customHeight="1">
      <c r="A6" s="65"/>
      <c r="B6" s="66" t="s">
        <v>42</v>
      </c>
      <c r="C6" s="66" t="s">
        <v>41</v>
      </c>
      <c r="D6" s="66" t="s">
        <v>53</v>
      </c>
      <c r="E6" s="66" t="s">
        <v>43</v>
      </c>
      <c r="F6" s="66" t="s">
        <v>44</v>
      </c>
      <c r="G6" s="66" t="s">
        <v>46</v>
      </c>
      <c r="H6" s="66" t="s">
        <v>50</v>
      </c>
      <c r="I6" s="66" t="s">
        <v>8</v>
      </c>
      <c r="J6" s="67" t="s">
        <v>48</v>
      </c>
    </row>
    <row r="7" spans="1:10">
      <c r="A7" s="68" t="s">
        <v>37</v>
      </c>
      <c r="B7" s="69"/>
      <c r="C7" s="69">
        <f>7+2.9+24+2.6+17+4.2+18.9+16.4+22.4+4.9</f>
        <v>120.30000000000001</v>
      </c>
      <c r="D7" s="69"/>
      <c r="E7" s="69">
        <v>0.4</v>
      </c>
      <c r="F7" s="69">
        <v>0.6</v>
      </c>
      <c r="G7" s="70">
        <f>+C7*E7*F7</f>
        <v>28.872</v>
      </c>
      <c r="H7" s="69">
        <v>1</v>
      </c>
      <c r="I7" s="69">
        <v>1</v>
      </c>
      <c r="J7" s="71">
        <f>+I7*H7*G7</f>
        <v>28.872</v>
      </c>
    </row>
    <row r="8" spans="1:10">
      <c r="A8" s="62"/>
      <c r="B8" s="63"/>
      <c r="C8" s="63"/>
      <c r="D8" s="63"/>
      <c r="E8" s="63"/>
      <c r="F8" s="63"/>
      <c r="G8" s="72"/>
      <c r="H8" s="63"/>
      <c r="I8" s="63"/>
      <c r="J8" s="74">
        <f>SUM(J7)</f>
        <v>28.872</v>
      </c>
    </row>
    <row r="9" spans="1:10">
      <c r="A9" s="55"/>
      <c r="G9" s="57"/>
      <c r="J9" s="58"/>
    </row>
    <row r="10" spans="1:10">
      <c r="A10" s="68" t="s">
        <v>38</v>
      </c>
      <c r="B10" s="69"/>
      <c r="C10" s="69"/>
      <c r="D10" s="70">
        <f>+(J16+J17+J18)*6</f>
        <v>65.632319999999993</v>
      </c>
      <c r="E10" s="69"/>
      <c r="F10" s="69">
        <v>0.7</v>
      </c>
      <c r="G10" s="70">
        <f>+F10*D10</f>
        <v>45.942623999999995</v>
      </c>
      <c r="H10" s="69">
        <v>1</v>
      </c>
      <c r="I10" s="69">
        <v>1</v>
      </c>
      <c r="J10" s="71">
        <f>+I10*H10*G10</f>
        <v>45.942623999999995</v>
      </c>
    </row>
    <row r="11" spans="1:10">
      <c r="A11" s="62"/>
      <c r="B11" s="63"/>
      <c r="C11" s="63"/>
      <c r="D11" s="72"/>
      <c r="E11" s="63"/>
      <c r="F11" s="63"/>
      <c r="G11" s="72"/>
      <c r="H11" s="63"/>
      <c r="I11" s="63"/>
      <c r="J11" s="74">
        <f>SUM(J10)</f>
        <v>45.942623999999995</v>
      </c>
    </row>
    <row r="12" spans="1:10">
      <c r="A12" s="55"/>
      <c r="G12" s="57"/>
      <c r="J12" s="58"/>
    </row>
    <row r="13" spans="1:10">
      <c r="A13" s="68" t="s">
        <v>45</v>
      </c>
      <c r="B13" s="69"/>
      <c r="C13" s="69"/>
      <c r="D13" s="69">
        <v>488</v>
      </c>
      <c r="E13" s="69"/>
      <c r="F13" s="69">
        <v>0.12</v>
      </c>
      <c r="G13" s="69">
        <f>+F13*D13</f>
        <v>58.559999999999995</v>
      </c>
      <c r="H13" s="69">
        <v>1</v>
      </c>
      <c r="I13" s="69">
        <v>1</v>
      </c>
      <c r="J13" s="71">
        <f>+I13*H13*G13</f>
        <v>58.559999999999995</v>
      </c>
    </row>
    <row r="14" spans="1:10">
      <c r="A14" s="62"/>
      <c r="B14" s="63"/>
      <c r="C14" s="63"/>
      <c r="D14" s="63"/>
      <c r="E14" s="63"/>
      <c r="F14" s="63"/>
      <c r="G14" s="63"/>
      <c r="H14" s="63"/>
      <c r="I14" s="63"/>
      <c r="J14" s="74">
        <f>SUM(J13)</f>
        <v>58.559999999999995</v>
      </c>
    </row>
    <row r="15" spans="1:10">
      <c r="A15" s="55"/>
      <c r="G15" s="57"/>
      <c r="J15" s="58"/>
    </row>
    <row r="16" spans="1:10">
      <c r="A16" s="68" t="s">
        <v>47</v>
      </c>
      <c r="B16" s="69" t="s">
        <v>49</v>
      </c>
      <c r="C16" s="69">
        <v>0.85</v>
      </c>
      <c r="D16" s="69"/>
      <c r="E16" s="69">
        <v>0.13</v>
      </c>
      <c r="F16" s="69">
        <v>2.8</v>
      </c>
      <c r="G16" s="70">
        <f t="shared" ref="G16:G27" si="0">+C16*E16*F16</f>
        <v>0.30940000000000001</v>
      </c>
      <c r="H16" s="69">
        <v>22</v>
      </c>
      <c r="I16" s="69">
        <v>1</v>
      </c>
      <c r="J16" s="71">
        <f>+G16*H16*I16</f>
        <v>6.8068</v>
      </c>
    </row>
    <row r="17" spans="1:10">
      <c r="A17" s="55"/>
      <c r="B17" s="39" t="s">
        <v>51</v>
      </c>
      <c r="C17" s="39">
        <v>6.5</v>
      </c>
      <c r="E17" s="39">
        <v>0.13</v>
      </c>
      <c r="F17" s="39">
        <v>3.8</v>
      </c>
      <c r="G17" s="57">
        <f t="shared" si="0"/>
        <v>3.2109999999999999</v>
      </c>
      <c r="H17" s="39">
        <v>1</v>
      </c>
      <c r="I17" s="39">
        <v>1</v>
      </c>
      <c r="J17" s="58">
        <f t="shared" ref="J17:J18" si="1">+G17*H17*I17</f>
        <v>3.2109999999999999</v>
      </c>
    </row>
    <row r="18" spans="1:10">
      <c r="A18" s="55"/>
      <c r="B18" s="39" t="s">
        <v>52</v>
      </c>
      <c r="C18" s="39">
        <v>2.5299999999999998</v>
      </c>
      <c r="E18" s="39">
        <v>0.13</v>
      </c>
      <c r="F18" s="39">
        <v>2.8</v>
      </c>
      <c r="G18" s="57">
        <f t="shared" si="0"/>
        <v>0.92091999999999985</v>
      </c>
      <c r="H18" s="39">
        <v>1</v>
      </c>
      <c r="I18" s="39">
        <v>1</v>
      </c>
      <c r="J18" s="58">
        <f t="shared" si="1"/>
        <v>0.92091999999999985</v>
      </c>
    </row>
    <row r="19" spans="1:10">
      <c r="A19" s="55" t="s">
        <v>132</v>
      </c>
      <c r="B19" s="39" t="s">
        <v>49</v>
      </c>
      <c r="C19" s="39">
        <v>0.85</v>
      </c>
      <c r="E19" s="39">
        <v>0.13</v>
      </c>
      <c r="F19" s="39">
        <v>2.4500000000000002</v>
      </c>
      <c r="G19" s="57">
        <f t="shared" si="0"/>
        <v>0.27072500000000005</v>
      </c>
      <c r="H19" s="39">
        <v>24</v>
      </c>
      <c r="I19" s="39">
        <v>2</v>
      </c>
      <c r="J19" s="58">
        <f>+G19*H19*I19</f>
        <v>12.994800000000001</v>
      </c>
    </row>
    <row r="20" spans="1:10">
      <c r="A20" s="55"/>
      <c r="B20" s="39" t="s">
        <v>51</v>
      </c>
      <c r="C20" s="39">
        <v>6.5</v>
      </c>
      <c r="E20" s="39">
        <v>0.13</v>
      </c>
      <c r="F20" s="39">
        <v>2.4500000000000002</v>
      </c>
      <c r="G20" s="57">
        <f t="shared" si="0"/>
        <v>2.0702500000000001</v>
      </c>
      <c r="H20" s="39">
        <v>1</v>
      </c>
      <c r="I20" s="39">
        <v>2</v>
      </c>
      <c r="J20" s="58">
        <f t="shared" ref="J20:J21" si="2">+G20*H20*I20</f>
        <v>4.1405000000000003</v>
      </c>
    </row>
    <row r="21" spans="1:10">
      <c r="A21" s="55"/>
      <c r="B21" s="39" t="s">
        <v>52</v>
      </c>
      <c r="C21" s="39">
        <v>2.5299999999999998</v>
      </c>
      <c r="E21" s="39">
        <v>0.13</v>
      </c>
      <c r="F21" s="39">
        <v>2.4500000000000002</v>
      </c>
      <c r="G21" s="57">
        <f t="shared" si="0"/>
        <v>0.80580499999999999</v>
      </c>
      <c r="H21" s="39">
        <v>1</v>
      </c>
      <c r="I21" s="39">
        <v>2</v>
      </c>
      <c r="J21" s="58">
        <f t="shared" si="2"/>
        <v>1.61161</v>
      </c>
    </row>
    <row r="22" spans="1:10">
      <c r="A22" s="55" t="s">
        <v>133</v>
      </c>
      <c r="B22" s="39" t="s">
        <v>49</v>
      </c>
      <c r="C22" s="39">
        <v>0.85</v>
      </c>
      <c r="E22" s="39">
        <v>0.13</v>
      </c>
      <c r="F22" s="39">
        <v>2.4500000000000002</v>
      </c>
      <c r="G22" s="57">
        <f t="shared" ref="G22:G24" si="3">+C22*E22*F22</f>
        <v>0.27072500000000005</v>
      </c>
      <c r="H22" s="39">
        <v>24</v>
      </c>
      <c r="I22" s="39">
        <v>3</v>
      </c>
      <c r="J22" s="58">
        <f>+G22*H22*I22</f>
        <v>19.492200000000004</v>
      </c>
    </row>
    <row r="23" spans="1:10">
      <c r="A23" s="55"/>
      <c r="B23" s="39" t="s">
        <v>51</v>
      </c>
      <c r="C23" s="39">
        <v>6.5</v>
      </c>
      <c r="E23" s="39">
        <v>0.13</v>
      </c>
      <c r="F23" s="39">
        <v>2.4500000000000002</v>
      </c>
      <c r="G23" s="57">
        <f t="shared" si="3"/>
        <v>2.0702500000000001</v>
      </c>
      <c r="H23" s="39">
        <v>1</v>
      </c>
      <c r="I23" s="39">
        <v>3</v>
      </c>
      <c r="J23" s="58">
        <f t="shared" ref="J23:J24" si="4">+G23*H23*I23</f>
        <v>6.2107500000000009</v>
      </c>
    </row>
    <row r="24" spans="1:10">
      <c r="A24" s="55"/>
      <c r="B24" s="39" t="s">
        <v>52</v>
      </c>
      <c r="C24" s="39">
        <v>2.5299999999999998</v>
      </c>
      <c r="E24" s="39">
        <v>0.13</v>
      </c>
      <c r="F24" s="39">
        <v>2.4500000000000002</v>
      </c>
      <c r="G24" s="57">
        <f t="shared" si="3"/>
        <v>0.80580499999999999</v>
      </c>
      <c r="H24" s="39">
        <v>1</v>
      </c>
      <c r="I24" s="39">
        <v>3</v>
      </c>
      <c r="J24" s="58">
        <f t="shared" si="4"/>
        <v>2.4174150000000001</v>
      </c>
    </row>
    <row r="25" spans="1:10">
      <c r="A25" s="55" t="s">
        <v>134</v>
      </c>
      <c r="B25" s="39" t="s">
        <v>49</v>
      </c>
      <c r="C25" s="39">
        <v>0.85</v>
      </c>
      <c r="E25" s="39">
        <v>0.13</v>
      </c>
      <c r="F25" s="39">
        <v>2.4500000000000002</v>
      </c>
      <c r="G25" s="57">
        <f t="shared" si="0"/>
        <v>0.27072500000000005</v>
      </c>
      <c r="H25" s="39">
        <v>7</v>
      </c>
      <c r="I25" s="39">
        <v>1</v>
      </c>
      <c r="J25" s="58">
        <f>+G25*H25*I25</f>
        <v>1.8950750000000003</v>
      </c>
    </row>
    <row r="26" spans="1:10">
      <c r="A26" s="55"/>
      <c r="B26" s="39" t="s">
        <v>51</v>
      </c>
      <c r="C26" s="39">
        <v>6.5</v>
      </c>
      <c r="E26" s="39">
        <v>0.13</v>
      </c>
      <c r="F26" s="39">
        <v>3.95</v>
      </c>
      <c r="G26" s="57">
        <f t="shared" si="0"/>
        <v>3.3377500000000002</v>
      </c>
      <c r="H26" s="39">
        <v>1</v>
      </c>
      <c r="I26" s="39">
        <v>1</v>
      </c>
      <c r="J26" s="58">
        <f t="shared" ref="J26:J27" si="5">+G26*H26*I26</f>
        <v>3.3377500000000002</v>
      </c>
    </row>
    <row r="27" spans="1:10">
      <c r="A27" s="55"/>
      <c r="B27" s="39" t="s">
        <v>52</v>
      </c>
      <c r="C27" s="39">
        <v>2.2000000000000002</v>
      </c>
      <c r="E27" s="39">
        <v>0.13</v>
      </c>
      <c r="F27" s="39">
        <v>2.4500000000000002</v>
      </c>
      <c r="G27" s="57">
        <f t="shared" si="0"/>
        <v>0.7007000000000001</v>
      </c>
      <c r="H27" s="39">
        <v>1</v>
      </c>
      <c r="I27" s="39">
        <v>1</v>
      </c>
      <c r="J27" s="58">
        <f t="shared" si="5"/>
        <v>0.7007000000000001</v>
      </c>
    </row>
    <row r="28" spans="1:10">
      <c r="A28" s="62"/>
      <c r="B28" s="63"/>
      <c r="C28" s="63"/>
      <c r="D28" s="63"/>
      <c r="E28" s="63"/>
      <c r="F28" s="63"/>
      <c r="G28" s="72"/>
      <c r="H28" s="63"/>
      <c r="I28" s="63"/>
      <c r="J28" s="74">
        <f>SUM(J16:J27)</f>
        <v>63.739519999999999</v>
      </c>
    </row>
    <row r="29" spans="1:10">
      <c r="A29" s="55"/>
      <c r="G29" s="57"/>
      <c r="J29" s="58"/>
    </row>
    <row r="30" spans="1:10">
      <c r="A30" s="68" t="s">
        <v>135</v>
      </c>
      <c r="B30" s="69"/>
      <c r="C30" s="69"/>
      <c r="D30" s="69">
        <f>334-D35</f>
        <v>326.5</v>
      </c>
      <c r="E30" s="69"/>
      <c r="F30" s="69">
        <v>0.19</v>
      </c>
      <c r="G30" s="70">
        <f>+F30*D30</f>
        <v>62.035000000000004</v>
      </c>
      <c r="H30" s="69"/>
      <c r="I30" s="69">
        <v>3</v>
      </c>
      <c r="J30" s="73">
        <f>+G30*I30</f>
        <v>186.10500000000002</v>
      </c>
    </row>
    <row r="31" spans="1:10">
      <c r="A31" s="55" t="s">
        <v>136</v>
      </c>
      <c r="D31" s="39">
        <f>315-D35</f>
        <v>307.5</v>
      </c>
      <c r="F31" s="39">
        <v>0.19</v>
      </c>
      <c r="G31" s="57">
        <f>+F31*D31</f>
        <v>58.424999999999997</v>
      </c>
      <c r="I31" s="39">
        <v>3</v>
      </c>
      <c r="J31" s="59">
        <f>+G31*I31</f>
        <v>175.27499999999998</v>
      </c>
    </row>
    <row r="32" spans="1:10">
      <c r="A32" s="55" t="s">
        <v>137</v>
      </c>
      <c r="D32" s="39">
        <f>26-D35</f>
        <v>18.5</v>
      </c>
      <c r="F32" s="39">
        <v>0.19</v>
      </c>
      <c r="G32" s="57">
        <f>+F32*D32</f>
        <v>3.5150000000000001</v>
      </c>
      <c r="I32" s="39">
        <v>1</v>
      </c>
      <c r="J32" s="59">
        <f>+G32*I32</f>
        <v>3.5150000000000001</v>
      </c>
    </row>
    <row r="33" spans="1:10">
      <c r="A33" s="62"/>
      <c r="B33" s="63"/>
      <c r="C33" s="63"/>
      <c r="D33" s="63"/>
      <c r="E33" s="63"/>
      <c r="F33" s="63"/>
      <c r="G33" s="72"/>
      <c r="H33" s="63"/>
      <c r="I33" s="63"/>
      <c r="J33" s="74">
        <f>SUM(J30:J32)</f>
        <v>364.89499999999998</v>
      </c>
    </row>
    <row r="34" spans="1:10">
      <c r="A34" s="55"/>
      <c r="G34" s="57"/>
      <c r="J34" s="58"/>
    </row>
    <row r="35" spans="1:10">
      <c r="A35" s="68" t="s">
        <v>54</v>
      </c>
      <c r="B35" s="69"/>
      <c r="C35" s="69"/>
      <c r="D35" s="69">
        <v>7.5</v>
      </c>
      <c r="E35" s="69"/>
      <c r="F35" s="69">
        <v>0.2</v>
      </c>
      <c r="G35" s="70">
        <f>+F35*D35</f>
        <v>1.5</v>
      </c>
      <c r="H35" s="69"/>
      <c r="I35" s="69">
        <v>6</v>
      </c>
      <c r="J35" s="73">
        <f>+G35*I35</f>
        <v>9</v>
      </c>
    </row>
    <row r="36" spans="1:10">
      <c r="A36" s="62"/>
      <c r="B36" s="63"/>
      <c r="C36" s="63"/>
      <c r="D36" s="63"/>
      <c r="E36" s="63"/>
      <c r="F36" s="63"/>
      <c r="G36" s="72"/>
      <c r="H36" s="63"/>
      <c r="I36" s="63"/>
      <c r="J36" s="74">
        <f>SUM(J35)</f>
        <v>9</v>
      </c>
    </row>
    <row r="37" spans="1:10">
      <c r="A37" s="55"/>
      <c r="G37" s="57"/>
      <c r="J37" s="58"/>
    </row>
    <row r="38" spans="1:10">
      <c r="A38" s="68" t="s">
        <v>56</v>
      </c>
      <c r="B38" s="69" t="s">
        <v>138</v>
      </c>
      <c r="C38" s="69">
        <v>8.1999999999999993</v>
      </c>
      <c r="D38" s="69"/>
      <c r="E38" s="69">
        <v>0.13</v>
      </c>
      <c r="F38" s="69">
        <v>0.33</v>
      </c>
      <c r="G38" s="70">
        <f t="shared" ref="G38:G45" si="6">+C38*E38*F38</f>
        <v>0.35177999999999998</v>
      </c>
      <c r="H38" s="69"/>
      <c r="I38" s="69">
        <v>3</v>
      </c>
      <c r="J38" s="73">
        <f t="shared" ref="J38:J43" si="7">+G38*I38</f>
        <v>1.0553399999999999</v>
      </c>
    </row>
    <row r="39" spans="1:10">
      <c r="A39" s="55"/>
      <c r="B39" s="39" t="s">
        <v>139</v>
      </c>
      <c r="C39" s="39">
        <f>13.9+31.1</f>
        <v>45</v>
      </c>
      <c r="E39" s="39">
        <v>0.13</v>
      </c>
      <c r="F39" s="39">
        <v>0.32</v>
      </c>
      <c r="G39" s="57">
        <f t="shared" si="6"/>
        <v>1.8720000000000001</v>
      </c>
      <c r="I39" s="39">
        <v>3</v>
      </c>
      <c r="J39" s="59">
        <f t="shared" si="7"/>
        <v>5.6160000000000005</v>
      </c>
    </row>
    <row r="40" spans="1:10">
      <c r="A40" s="55"/>
      <c r="B40" s="39" t="s">
        <v>140</v>
      </c>
      <c r="C40" s="200">
        <f>35+1.5+2.6</f>
        <v>39.1</v>
      </c>
      <c r="E40" s="39">
        <v>0.13</v>
      </c>
      <c r="F40" s="39">
        <v>0.81</v>
      </c>
      <c r="G40" s="57">
        <f t="shared" ref="G40:G42" si="8">+C40*E40*F40</f>
        <v>4.1172300000000002</v>
      </c>
      <c r="I40" s="39">
        <v>3</v>
      </c>
      <c r="J40" s="59">
        <f t="shared" si="7"/>
        <v>12.351690000000001</v>
      </c>
    </row>
    <row r="41" spans="1:10">
      <c r="A41" s="55"/>
      <c r="B41" s="39" t="s">
        <v>141</v>
      </c>
      <c r="C41" s="39">
        <v>8.1999999999999993</v>
      </c>
      <c r="E41" s="39">
        <v>0.13</v>
      </c>
      <c r="F41" s="39">
        <v>0.33</v>
      </c>
      <c r="G41" s="57">
        <f t="shared" si="8"/>
        <v>0.35177999999999998</v>
      </c>
      <c r="I41" s="39">
        <v>3</v>
      </c>
      <c r="J41" s="59">
        <f t="shared" si="7"/>
        <v>1.0553399999999999</v>
      </c>
    </row>
    <row r="42" spans="1:10">
      <c r="A42" s="55"/>
      <c r="B42" s="39" t="s">
        <v>142</v>
      </c>
      <c r="C42" s="39">
        <f>13.9+29.4</f>
        <v>43.3</v>
      </c>
      <c r="E42" s="39">
        <v>0.13</v>
      </c>
      <c r="F42" s="39">
        <v>0.32</v>
      </c>
      <c r="G42" s="57">
        <f t="shared" si="8"/>
        <v>1.80128</v>
      </c>
      <c r="I42" s="39">
        <v>3</v>
      </c>
      <c r="J42" s="59">
        <f t="shared" si="7"/>
        <v>5.4038399999999998</v>
      </c>
    </row>
    <row r="43" spans="1:10">
      <c r="A43" s="55"/>
      <c r="B43" s="39" t="s">
        <v>143</v>
      </c>
      <c r="C43" s="200">
        <f>32+1.5+2.6</f>
        <v>36.1</v>
      </c>
      <c r="E43" s="39">
        <v>0.13</v>
      </c>
      <c r="F43" s="39">
        <v>0.81</v>
      </c>
      <c r="G43" s="57">
        <f t="shared" si="6"/>
        <v>3.8013300000000005</v>
      </c>
      <c r="I43" s="39">
        <v>1</v>
      </c>
      <c r="J43" s="59">
        <f t="shared" si="7"/>
        <v>3.8013300000000005</v>
      </c>
    </row>
    <row r="44" spans="1:10">
      <c r="A44" s="55"/>
      <c r="B44" s="39" t="s">
        <v>144</v>
      </c>
      <c r="C44" s="39">
        <f>17+16.5</f>
        <v>33.5</v>
      </c>
      <c r="E44" s="39">
        <v>0.13</v>
      </c>
      <c r="F44" s="39">
        <v>0.7</v>
      </c>
      <c r="G44" s="57">
        <f t="shared" si="6"/>
        <v>3.0485000000000002</v>
      </c>
      <c r="I44" s="39">
        <v>1</v>
      </c>
      <c r="J44" s="59">
        <f t="shared" ref="J44:J45" si="9">+G44*I44</f>
        <v>3.0485000000000002</v>
      </c>
    </row>
    <row r="45" spans="1:10">
      <c r="A45" s="55"/>
      <c r="B45" s="39" t="s">
        <v>145</v>
      </c>
      <c r="C45" s="39">
        <v>7.6</v>
      </c>
      <c r="E45" s="39">
        <v>0.13</v>
      </c>
      <c r="F45" s="39">
        <v>0.3</v>
      </c>
      <c r="G45" s="57">
        <f t="shared" si="6"/>
        <v>0.2964</v>
      </c>
      <c r="I45" s="39">
        <v>1</v>
      </c>
      <c r="J45" s="59">
        <f t="shared" si="9"/>
        <v>0.2964</v>
      </c>
    </row>
    <row r="46" spans="1:10" ht="15.75" thickBot="1">
      <c r="A46" s="60"/>
      <c r="B46" s="61"/>
      <c r="C46" s="61"/>
      <c r="D46" s="61"/>
      <c r="E46" s="61"/>
      <c r="F46" s="61"/>
      <c r="G46" s="61"/>
      <c r="H46" s="61"/>
      <c r="I46" s="61"/>
      <c r="J46" s="75">
        <f>SUM(J38:J45)</f>
        <v>32.628439999999998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topLeftCell="A7" workbookViewId="0">
      <selection activeCell="G11" sqref="G11"/>
    </sheetView>
  </sheetViews>
  <sheetFormatPr baseColWidth="10" defaultRowHeight="15"/>
  <cols>
    <col min="1" max="5" width="14.140625" style="40" customWidth="1"/>
  </cols>
  <sheetData>
    <row r="1" spans="1:5" ht="54.6" customHeight="1">
      <c r="A1" s="41"/>
      <c r="B1" s="42"/>
      <c r="C1" s="43"/>
      <c r="D1" s="42"/>
      <c r="E1" s="46">
        <v>45776</v>
      </c>
    </row>
    <row r="2" spans="1:5">
      <c r="A2" s="1"/>
      <c r="B2" s="39"/>
      <c r="C2" s="47"/>
      <c r="D2" s="39"/>
      <c r="E2" s="48"/>
    </row>
    <row r="3" spans="1:5" ht="19.5" thickBot="1">
      <c r="A3" s="49" t="s">
        <v>57</v>
      </c>
      <c r="B3" s="76" t="s">
        <v>146</v>
      </c>
      <c r="C3" s="50"/>
      <c r="D3" s="53"/>
      <c r="E3" s="54" t="s">
        <v>187</v>
      </c>
    </row>
    <row r="4" spans="1:5" ht="15.75" thickBot="1">
      <c r="A4" s="290" t="s">
        <v>166</v>
      </c>
      <c r="B4" s="291" t="s">
        <v>167</v>
      </c>
      <c r="C4" s="291" t="s">
        <v>168</v>
      </c>
      <c r="D4" s="291" t="s">
        <v>169</v>
      </c>
      <c r="E4" s="292" t="s">
        <v>170</v>
      </c>
    </row>
    <row r="5" spans="1:5">
      <c r="A5" s="285" t="s">
        <v>183</v>
      </c>
      <c r="B5" s="496" t="s">
        <v>184</v>
      </c>
      <c r="C5" s="40" t="s">
        <v>180</v>
      </c>
      <c r="D5" s="40">
        <v>1</v>
      </c>
      <c r="E5" s="286">
        <f>+D5</f>
        <v>1</v>
      </c>
    </row>
    <row r="6" spans="1:5">
      <c r="A6" s="285" t="s">
        <v>179</v>
      </c>
      <c r="B6" s="496"/>
      <c r="C6" s="40" t="s">
        <v>180</v>
      </c>
      <c r="D6" s="40">
        <v>1</v>
      </c>
      <c r="E6" s="286">
        <f>+D6</f>
        <v>1</v>
      </c>
    </row>
    <row r="7" spans="1:5">
      <c r="A7" s="293" t="s">
        <v>165</v>
      </c>
      <c r="B7" s="500" t="s">
        <v>171</v>
      </c>
      <c r="C7" s="294" t="s">
        <v>172</v>
      </c>
      <c r="D7" s="294">
        <v>6</v>
      </c>
      <c r="E7" s="295">
        <f>+D7</f>
        <v>6</v>
      </c>
    </row>
    <row r="8" spans="1:5">
      <c r="A8" s="285" t="s">
        <v>173</v>
      </c>
      <c r="B8" s="496"/>
      <c r="C8" s="40" t="s">
        <v>174</v>
      </c>
      <c r="D8" s="40">
        <v>8</v>
      </c>
      <c r="E8" s="499">
        <f>+D8+D9</f>
        <v>14</v>
      </c>
    </row>
    <row r="9" spans="1:5">
      <c r="A9" s="285" t="s">
        <v>175</v>
      </c>
      <c r="B9" s="496"/>
      <c r="C9" s="40" t="s">
        <v>176</v>
      </c>
      <c r="D9" s="40">
        <v>6</v>
      </c>
      <c r="E9" s="499"/>
    </row>
    <row r="10" spans="1:5">
      <c r="A10" s="296" t="s">
        <v>179</v>
      </c>
      <c r="B10" s="501"/>
      <c r="C10" s="297" t="s">
        <v>180</v>
      </c>
      <c r="D10" s="297">
        <v>1</v>
      </c>
      <c r="E10" s="298">
        <f>+D10</f>
        <v>1</v>
      </c>
    </row>
    <row r="11" spans="1:5">
      <c r="A11" s="285" t="s">
        <v>165</v>
      </c>
      <c r="B11" s="496" t="s">
        <v>177</v>
      </c>
      <c r="C11" s="40" t="s">
        <v>172</v>
      </c>
      <c r="D11" s="40">
        <v>6</v>
      </c>
      <c r="E11" s="286">
        <f>+D11</f>
        <v>6</v>
      </c>
    </row>
    <row r="12" spans="1:5">
      <c r="A12" s="285" t="s">
        <v>173</v>
      </c>
      <c r="B12" s="496"/>
      <c r="C12" s="40" t="s">
        <v>174</v>
      </c>
      <c r="D12" s="40">
        <v>8</v>
      </c>
      <c r="E12" s="499">
        <f>+D12+D13</f>
        <v>14</v>
      </c>
    </row>
    <row r="13" spans="1:5">
      <c r="A13" s="285" t="s">
        <v>175</v>
      </c>
      <c r="B13" s="496"/>
      <c r="C13" s="40" t="s">
        <v>176</v>
      </c>
      <c r="D13" s="40">
        <v>6</v>
      </c>
      <c r="E13" s="499"/>
    </row>
    <row r="14" spans="1:5">
      <c r="A14" s="285" t="s">
        <v>179</v>
      </c>
      <c r="B14" s="496"/>
      <c r="C14" s="40" t="s">
        <v>180</v>
      </c>
      <c r="D14" s="40">
        <v>1</v>
      </c>
      <c r="E14" s="286">
        <f>+D14</f>
        <v>1</v>
      </c>
    </row>
    <row r="15" spans="1:5">
      <c r="A15" s="293" t="s">
        <v>165</v>
      </c>
      <c r="B15" s="500" t="s">
        <v>178</v>
      </c>
      <c r="C15" s="294" t="s">
        <v>172</v>
      </c>
      <c r="D15" s="294">
        <v>6</v>
      </c>
      <c r="E15" s="295">
        <f>+D15</f>
        <v>6</v>
      </c>
    </row>
    <row r="16" spans="1:5">
      <c r="A16" s="285" t="s">
        <v>173</v>
      </c>
      <c r="B16" s="496"/>
      <c r="C16" s="40" t="s">
        <v>174</v>
      </c>
      <c r="D16" s="40">
        <v>7</v>
      </c>
      <c r="E16" s="499">
        <f>+D16+D17</f>
        <v>13</v>
      </c>
    </row>
    <row r="17" spans="1:5">
      <c r="A17" s="285" t="s">
        <v>175</v>
      </c>
      <c r="B17" s="496"/>
      <c r="C17" s="40" t="s">
        <v>176</v>
      </c>
      <c r="D17" s="40">
        <v>6</v>
      </c>
      <c r="E17" s="499"/>
    </row>
    <row r="18" spans="1:5">
      <c r="A18" s="296" t="s">
        <v>179</v>
      </c>
      <c r="B18" s="501"/>
      <c r="C18" s="297" t="s">
        <v>180</v>
      </c>
      <c r="D18" s="297">
        <v>1</v>
      </c>
      <c r="E18" s="298">
        <f>+D18</f>
        <v>1</v>
      </c>
    </row>
    <row r="19" spans="1:5">
      <c r="A19" s="285" t="s">
        <v>165</v>
      </c>
      <c r="B19" s="496" t="s">
        <v>181</v>
      </c>
      <c r="C19" s="40" t="s">
        <v>172</v>
      </c>
      <c r="D19" s="40">
        <v>6</v>
      </c>
      <c r="E19" s="286">
        <f>+D19</f>
        <v>6</v>
      </c>
    </row>
    <row r="20" spans="1:5">
      <c r="A20" s="285" t="s">
        <v>173</v>
      </c>
      <c r="B20" s="496"/>
      <c r="C20" s="40" t="s">
        <v>174</v>
      </c>
      <c r="D20" s="40">
        <v>7</v>
      </c>
      <c r="E20" s="499">
        <f>+D20+D21</f>
        <v>13</v>
      </c>
    </row>
    <row r="21" spans="1:5">
      <c r="A21" s="285" t="s">
        <v>175</v>
      </c>
      <c r="B21" s="496"/>
      <c r="C21" s="40" t="s">
        <v>176</v>
      </c>
      <c r="D21" s="40">
        <v>6</v>
      </c>
      <c r="E21" s="499"/>
    </row>
    <row r="22" spans="1:5">
      <c r="A22" s="285" t="s">
        <v>179</v>
      </c>
      <c r="B22" s="496"/>
      <c r="C22" s="40" t="s">
        <v>180</v>
      </c>
      <c r="D22" s="40">
        <v>1</v>
      </c>
      <c r="E22" s="286">
        <f>+D22</f>
        <v>1</v>
      </c>
    </row>
    <row r="23" spans="1:5">
      <c r="A23" s="293" t="s">
        <v>165</v>
      </c>
      <c r="B23" s="500" t="s">
        <v>182</v>
      </c>
      <c r="C23" s="294" t="s">
        <v>172</v>
      </c>
      <c r="D23" s="294">
        <v>6</v>
      </c>
      <c r="E23" s="295">
        <f>+D23</f>
        <v>6</v>
      </c>
    </row>
    <row r="24" spans="1:5">
      <c r="A24" s="285" t="s">
        <v>173</v>
      </c>
      <c r="B24" s="496"/>
      <c r="C24" s="40" t="s">
        <v>174</v>
      </c>
      <c r="D24" s="40">
        <v>7</v>
      </c>
      <c r="E24" s="499">
        <f>+D24+D25</f>
        <v>13</v>
      </c>
    </row>
    <row r="25" spans="1:5">
      <c r="A25" s="285" t="s">
        <v>175</v>
      </c>
      <c r="B25" s="496"/>
      <c r="C25" s="40" t="s">
        <v>176</v>
      </c>
      <c r="D25" s="40">
        <v>6</v>
      </c>
      <c r="E25" s="499"/>
    </row>
    <row r="26" spans="1:5">
      <c r="A26" s="296" t="s">
        <v>179</v>
      </c>
      <c r="B26" s="501"/>
      <c r="C26" s="297" t="s">
        <v>180</v>
      </c>
      <c r="D26" s="297">
        <v>1</v>
      </c>
      <c r="E26" s="298">
        <f>+D26</f>
        <v>1</v>
      </c>
    </row>
    <row r="27" spans="1:5">
      <c r="A27" s="285" t="s">
        <v>165</v>
      </c>
      <c r="B27" s="496" t="s">
        <v>185</v>
      </c>
      <c r="C27" s="40" t="s">
        <v>172</v>
      </c>
      <c r="D27" s="40">
        <v>1</v>
      </c>
      <c r="E27" s="286">
        <f>+D27</f>
        <v>1</v>
      </c>
    </row>
    <row r="28" spans="1:5">
      <c r="A28" s="285" t="s">
        <v>175</v>
      </c>
      <c r="B28" s="496"/>
      <c r="C28" s="40" t="s">
        <v>176</v>
      </c>
      <c r="D28" s="40">
        <v>1</v>
      </c>
      <c r="E28" s="286">
        <f>+D28</f>
        <v>1</v>
      </c>
    </row>
    <row r="29" spans="1:5" ht="15.75" thickBot="1">
      <c r="A29" s="287" t="s">
        <v>179</v>
      </c>
      <c r="B29" s="502"/>
      <c r="C29" s="288" t="s">
        <v>180</v>
      </c>
      <c r="D29" s="288">
        <v>2</v>
      </c>
      <c r="E29" s="289">
        <f>+D29</f>
        <v>2</v>
      </c>
    </row>
    <row r="30" spans="1:5" ht="15.75" thickBot="1">
      <c r="E30" s="299">
        <f>SUM(E5:E29)</f>
        <v>108</v>
      </c>
    </row>
    <row r="31" spans="1:5" ht="15.75" thickBot="1">
      <c r="D31" s="497" t="s">
        <v>23</v>
      </c>
      <c r="E31" s="498"/>
    </row>
    <row r="32" spans="1:5">
      <c r="D32" s="296" t="s">
        <v>165</v>
      </c>
      <c r="E32" s="298">
        <f>+E7+E11+E15+E19+E23+E27</f>
        <v>31</v>
      </c>
    </row>
    <row r="33" spans="4:5">
      <c r="D33" s="65" t="s">
        <v>186</v>
      </c>
      <c r="E33" s="302">
        <f>+E8+E12+E16+E20+E24+E28</f>
        <v>68</v>
      </c>
    </row>
    <row r="34" spans="4:5">
      <c r="D34" s="65" t="s">
        <v>179</v>
      </c>
      <c r="E34" s="302">
        <f>+E6+E10+E14+E18+E22+E26+E29</f>
        <v>8</v>
      </c>
    </row>
    <row r="35" spans="4:5" ht="15.75" thickBot="1">
      <c r="D35" s="303" t="s">
        <v>183</v>
      </c>
      <c r="E35" s="304">
        <f>+E5</f>
        <v>1</v>
      </c>
    </row>
  </sheetData>
  <mergeCells count="13">
    <mergeCell ref="B5:B6"/>
    <mergeCell ref="D31:E31"/>
    <mergeCell ref="B19:B22"/>
    <mergeCell ref="E20:E21"/>
    <mergeCell ref="B23:B26"/>
    <mergeCell ref="E24:E25"/>
    <mergeCell ref="B27:B29"/>
    <mergeCell ref="B7:B10"/>
    <mergeCell ref="B11:B14"/>
    <mergeCell ref="B15:B18"/>
    <mergeCell ref="E8:E9"/>
    <mergeCell ref="E12:E13"/>
    <mergeCell ref="E16:E1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A11" sqref="A11"/>
    </sheetView>
  </sheetViews>
  <sheetFormatPr baseColWidth="10" defaultRowHeight="15"/>
  <cols>
    <col min="1" max="2" width="12.7109375" style="40" customWidth="1"/>
    <col min="3" max="3" width="16.28515625" style="40" customWidth="1"/>
    <col min="4" max="4" width="12.7109375" style="40" customWidth="1"/>
    <col min="5" max="7" width="8.28515625" style="40" customWidth="1"/>
    <col min="8" max="12" width="8.28515625" customWidth="1"/>
    <col min="13" max="13" width="14.28515625" customWidth="1"/>
  </cols>
  <sheetData>
    <row r="1" spans="1:13" ht="54.6" customHeight="1">
      <c r="A1" s="41"/>
      <c r="B1" s="42"/>
      <c r="C1" s="42"/>
      <c r="D1" s="42"/>
      <c r="E1" s="43"/>
      <c r="F1" s="42"/>
      <c r="G1" s="51"/>
      <c r="H1" s="198"/>
      <c r="I1" s="198"/>
      <c r="J1" s="198"/>
      <c r="K1" s="46"/>
      <c r="L1" s="46"/>
      <c r="M1" s="46">
        <v>45776</v>
      </c>
    </row>
    <row r="2" spans="1:13">
      <c r="A2" s="1"/>
      <c r="B2" s="39"/>
      <c r="C2" s="39"/>
      <c r="D2" s="39"/>
      <c r="E2" s="47"/>
      <c r="F2" s="39"/>
      <c r="K2" s="39"/>
      <c r="L2" s="39"/>
      <c r="M2" s="48"/>
    </row>
    <row r="3" spans="1:13" ht="19.5" thickBot="1">
      <c r="A3" s="49" t="s">
        <v>57</v>
      </c>
      <c r="B3" s="76" t="s">
        <v>146</v>
      </c>
      <c r="C3" s="76"/>
      <c r="D3" s="76"/>
      <c r="E3" s="50"/>
      <c r="F3" s="53"/>
      <c r="G3" s="51"/>
      <c r="H3" s="198"/>
      <c r="I3" s="198"/>
      <c r="J3" s="198"/>
      <c r="K3" s="54"/>
      <c r="L3" s="54"/>
      <c r="M3" s="54" t="s">
        <v>190</v>
      </c>
    </row>
    <row r="4" spans="1:13">
      <c r="A4" s="310" t="s">
        <v>166</v>
      </c>
      <c r="B4" s="312" t="s">
        <v>168</v>
      </c>
      <c r="C4" s="311" t="s">
        <v>202</v>
      </c>
      <c r="D4" s="315" t="s">
        <v>188</v>
      </c>
      <c r="E4" s="312" t="s">
        <v>184</v>
      </c>
      <c r="F4" s="311" t="s">
        <v>171</v>
      </c>
      <c r="G4" s="311" t="s">
        <v>177</v>
      </c>
      <c r="H4" s="311" t="s">
        <v>178</v>
      </c>
      <c r="I4" s="311" t="s">
        <v>181</v>
      </c>
      <c r="J4" s="311" t="s">
        <v>182</v>
      </c>
      <c r="K4" s="315" t="s">
        <v>185</v>
      </c>
      <c r="L4" s="311" t="s">
        <v>24</v>
      </c>
      <c r="M4" s="309" t="s">
        <v>166</v>
      </c>
    </row>
    <row r="5" spans="1:13">
      <c r="A5" s="65" t="s">
        <v>189</v>
      </c>
      <c r="B5" s="313" t="s">
        <v>203</v>
      </c>
      <c r="C5" s="307" t="s">
        <v>204</v>
      </c>
      <c r="D5" s="316" t="s">
        <v>226</v>
      </c>
      <c r="E5" s="313"/>
      <c r="F5" s="307">
        <v>1</v>
      </c>
      <c r="G5" s="307">
        <v>1</v>
      </c>
      <c r="H5" s="307">
        <v>1</v>
      </c>
      <c r="I5" s="307">
        <v>1</v>
      </c>
      <c r="J5" s="307">
        <v>1</v>
      </c>
      <c r="K5" s="316"/>
      <c r="L5" s="307">
        <f>SUM(E5:K5)</f>
        <v>5</v>
      </c>
      <c r="M5" s="302" t="str">
        <f>+A5</f>
        <v>P01</v>
      </c>
    </row>
    <row r="6" spans="1:13">
      <c r="A6" s="65" t="s">
        <v>191</v>
      </c>
      <c r="B6" s="313" t="s">
        <v>205</v>
      </c>
      <c r="C6" s="307" t="s">
        <v>206</v>
      </c>
      <c r="D6" s="316" t="s">
        <v>226</v>
      </c>
      <c r="E6" s="313"/>
      <c r="F6" s="307">
        <v>1</v>
      </c>
      <c r="G6" s="307">
        <v>1</v>
      </c>
      <c r="H6" s="307">
        <v>1</v>
      </c>
      <c r="I6" s="307">
        <v>1</v>
      </c>
      <c r="J6" s="307">
        <v>1</v>
      </c>
      <c r="K6" s="316"/>
      <c r="L6" s="307">
        <f t="shared" ref="L6:L16" si="0">SUM(E6:K6)</f>
        <v>5</v>
      </c>
      <c r="M6" s="302" t="str">
        <f t="shared" ref="M6:M16" si="1">+A6</f>
        <v>P02</v>
      </c>
    </row>
    <row r="7" spans="1:13">
      <c r="A7" s="65" t="s">
        <v>192</v>
      </c>
      <c r="B7" s="313" t="s">
        <v>207</v>
      </c>
      <c r="C7" s="307" t="s">
        <v>208</v>
      </c>
      <c r="D7" s="316" t="s">
        <v>225</v>
      </c>
      <c r="E7" s="313"/>
      <c r="F7" s="307">
        <v>1</v>
      </c>
      <c r="G7" s="307">
        <v>1</v>
      </c>
      <c r="H7" s="307">
        <v>1</v>
      </c>
      <c r="I7" s="307">
        <v>1</v>
      </c>
      <c r="J7" s="307">
        <v>1</v>
      </c>
      <c r="K7" s="316"/>
      <c r="L7" s="307">
        <f t="shared" si="0"/>
        <v>5</v>
      </c>
      <c r="M7" s="302" t="str">
        <f t="shared" si="1"/>
        <v>P03</v>
      </c>
    </row>
    <row r="8" spans="1:13">
      <c r="A8" s="65" t="s">
        <v>193</v>
      </c>
      <c r="B8" s="313" t="s">
        <v>209</v>
      </c>
      <c r="C8" s="307" t="s">
        <v>208</v>
      </c>
      <c r="D8" s="316" t="s">
        <v>221</v>
      </c>
      <c r="E8" s="313"/>
      <c r="F8" s="307">
        <v>1</v>
      </c>
      <c r="G8" s="307">
        <v>1</v>
      </c>
      <c r="H8" s="307">
        <v>1</v>
      </c>
      <c r="I8" s="307">
        <v>1</v>
      </c>
      <c r="J8" s="307">
        <v>1</v>
      </c>
      <c r="K8" s="316"/>
      <c r="L8" s="307">
        <f t="shared" si="0"/>
        <v>5</v>
      </c>
      <c r="M8" s="302" t="str">
        <f t="shared" si="1"/>
        <v>P04</v>
      </c>
    </row>
    <row r="9" spans="1:13">
      <c r="A9" s="65" t="s">
        <v>194</v>
      </c>
      <c r="B9" s="313" t="s">
        <v>210</v>
      </c>
      <c r="C9" s="307" t="s">
        <v>208</v>
      </c>
      <c r="D9" s="316" t="s">
        <v>224</v>
      </c>
      <c r="E9" s="313"/>
      <c r="F9" s="307">
        <v>1</v>
      </c>
      <c r="G9" s="307">
        <v>1</v>
      </c>
      <c r="H9" s="307">
        <v>1</v>
      </c>
      <c r="I9" s="307">
        <v>1</v>
      </c>
      <c r="J9" s="307">
        <v>1</v>
      </c>
      <c r="K9" s="316"/>
      <c r="L9" s="307">
        <f t="shared" si="0"/>
        <v>5</v>
      </c>
      <c r="M9" s="302" t="str">
        <f t="shared" si="1"/>
        <v>P05</v>
      </c>
    </row>
    <row r="10" spans="1:13">
      <c r="A10" s="65" t="s">
        <v>195</v>
      </c>
      <c r="B10" s="313" t="s">
        <v>211</v>
      </c>
      <c r="C10" s="307" t="s">
        <v>212</v>
      </c>
      <c r="D10" s="316" t="s">
        <v>223</v>
      </c>
      <c r="E10" s="313"/>
      <c r="F10" s="307">
        <v>1</v>
      </c>
      <c r="G10" s="307">
        <v>1</v>
      </c>
      <c r="H10" s="307"/>
      <c r="I10" s="307"/>
      <c r="J10" s="307"/>
      <c r="K10" s="316"/>
      <c r="L10" s="307">
        <f t="shared" si="0"/>
        <v>2</v>
      </c>
      <c r="M10" s="302" t="str">
        <f t="shared" si="1"/>
        <v>P06</v>
      </c>
    </row>
    <row r="11" spans="1:13">
      <c r="A11" s="65" t="s">
        <v>196</v>
      </c>
      <c r="B11" s="313" t="s">
        <v>213</v>
      </c>
      <c r="C11" s="307" t="s">
        <v>204</v>
      </c>
      <c r="D11" s="316" t="s">
        <v>222</v>
      </c>
      <c r="E11" s="313"/>
      <c r="F11" s="307">
        <v>1</v>
      </c>
      <c r="G11" s="307">
        <v>1</v>
      </c>
      <c r="H11" s="307"/>
      <c r="I11" s="307"/>
      <c r="J11" s="307"/>
      <c r="K11" s="316"/>
      <c r="L11" s="307">
        <f t="shared" si="0"/>
        <v>2</v>
      </c>
      <c r="M11" s="302" t="str">
        <f t="shared" si="1"/>
        <v>P07</v>
      </c>
    </row>
    <row r="12" spans="1:13">
      <c r="A12" s="65" t="s">
        <v>197</v>
      </c>
      <c r="B12" s="313" t="s">
        <v>214</v>
      </c>
      <c r="C12" s="307" t="s">
        <v>206</v>
      </c>
      <c r="D12" s="316" t="s">
        <v>222</v>
      </c>
      <c r="E12" s="313"/>
      <c r="F12" s="307">
        <v>1</v>
      </c>
      <c r="G12" s="307">
        <v>1</v>
      </c>
      <c r="H12" s="307"/>
      <c r="I12" s="307"/>
      <c r="J12" s="307"/>
      <c r="K12" s="316"/>
      <c r="L12" s="307">
        <f t="shared" si="0"/>
        <v>2</v>
      </c>
      <c r="M12" s="302" t="str">
        <f t="shared" si="1"/>
        <v>P08</v>
      </c>
    </row>
    <row r="13" spans="1:13">
      <c r="A13" s="65" t="s">
        <v>198</v>
      </c>
      <c r="B13" s="313" t="s">
        <v>215</v>
      </c>
      <c r="C13" s="307" t="s">
        <v>216</v>
      </c>
      <c r="D13" s="316" t="s">
        <v>242</v>
      </c>
      <c r="E13" s="313">
        <v>1</v>
      </c>
      <c r="F13" s="307">
        <v>1</v>
      </c>
      <c r="G13" s="307">
        <v>1</v>
      </c>
      <c r="H13" s="307">
        <v>1</v>
      </c>
      <c r="I13" s="307">
        <v>1</v>
      </c>
      <c r="J13" s="307">
        <v>1</v>
      </c>
      <c r="K13" s="316">
        <v>1</v>
      </c>
      <c r="L13" s="307">
        <f t="shared" si="0"/>
        <v>7</v>
      </c>
      <c r="M13" s="302" t="str">
        <f t="shared" si="1"/>
        <v>P09</v>
      </c>
    </row>
    <row r="14" spans="1:13">
      <c r="A14" s="65" t="s">
        <v>199</v>
      </c>
      <c r="B14" s="313" t="s">
        <v>217</v>
      </c>
      <c r="C14" s="307" t="s">
        <v>218</v>
      </c>
      <c r="D14" s="316" t="s">
        <v>221</v>
      </c>
      <c r="E14" s="313"/>
      <c r="F14" s="307">
        <v>1</v>
      </c>
      <c r="G14" s="307">
        <v>1</v>
      </c>
      <c r="H14" s="307">
        <v>1</v>
      </c>
      <c r="I14" s="307">
        <v>1</v>
      </c>
      <c r="J14" s="307">
        <v>1</v>
      </c>
      <c r="K14" s="316"/>
      <c r="L14" s="307">
        <f t="shared" si="0"/>
        <v>5</v>
      </c>
      <c r="M14" s="302" t="str">
        <f t="shared" si="1"/>
        <v>P10</v>
      </c>
    </row>
    <row r="15" spans="1:13">
      <c r="A15" s="293" t="s">
        <v>200</v>
      </c>
      <c r="B15" s="318" t="s">
        <v>219</v>
      </c>
      <c r="C15" s="294" t="s">
        <v>204</v>
      </c>
      <c r="D15" s="316" t="s">
        <v>220</v>
      </c>
      <c r="E15" s="313"/>
      <c r="F15" s="307"/>
      <c r="G15" s="307"/>
      <c r="H15" s="307">
        <v>1</v>
      </c>
      <c r="I15" s="307">
        <v>1</v>
      </c>
      <c r="J15" s="307">
        <v>1</v>
      </c>
      <c r="K15" s="316"/>
      <c r="L15" s="307">
        <f t="shared" ref="L15" si="2">SUM(E15:K15)</f>
        <v>3</v>
      </c>
      <c r="M15" s="302" t="str">
        <f t="shared" ref="M15" si="3">+A15</f>
        <v>P11</v>
      </c>
    </row>
    <row r="16" spans="1:13" ht="15.75" thickBot="1">
      <c r="A16" s="303" t="s">
        <v>201</v>
      </c>
      <c r="B16" s="314" t="s">
        <v>239</v>
      </c>
      <c r="C16" s="308" t="s">
        <v>240</v>
      </c>
      <c r="D16" s="317" t="s">
        <v>241</v>
      </c>
      <c r="E16" s="314">
        <v>1</v>
      </c>
      <c r="F16" s="308"/>
      <c r="G16" s="308"/>
      <c r="H16" s="308"/>
      <c r="I16" s="308"/>
      <c r="J16" s="308"/>
      <c r="K16" s="317"/>
      <c r="L16" s="308">
        <f t="shared" si="0"/>
        <v>1</v>
      </c>
      <c r="M16" s="304" t="str">
        <f t="shared" si="1"/>
        <v>P12</v>
      </c>
    </row>
    <row r="17" spans="1:11">
      <c r="A17" s="285"/>
      <c r="H17" s="40"/>
      <c r="I17" s="40"/>
      <c r="J17" s="40"/>
      <c r="K17" s="40"/>
    </row>
    <row r="18" spans="1:11">
      <c r="A18" s="285"/>
      <c r="H18" s="40"/>
      <c r="I18" s="40"/>
      <c r="J18" s="40"/>
      <c r="K18" s="40"/>
    </row>
    <row r="19" spans="1:11">
      <c r="H19" s="40"/>
      <c r="I19" s="40"/>
      <c r="J19" s="40"/>
      <c r="K19" s="40"/>
    </row>
    <row r="20" spans="1:11">
      <c r="H20" s="40"/>
      <c r="I20" s="40"/>
      <c r="J20" s="40"/>
      <c r="K20" s="40"/>
    </row>
    <row r="21" spans="1:11">
      <c r="H21" s="40"/>
      <c r="I21" s="40"/>
      <c r="J21" s="40"/>
      <c r="K21" s="40"/>
    </row>
    <row r="22" spans="1:11">
      <c r="H22" s="40"/>
      <c r="I22" s="40"/>
      <c r="J22" s="40"/>
      <c r="K22" s="40"/>
    </row>
    <row r="23" spans="1:11">
      <c r="H23" s="40"/>
      <c r="I23" s="40"/>
      <c r="J23" s="40"/>
      <c r="K23" s="40"/>
    </row>
    <row r="24" spans="1:11">
      <c r="H24" s="40"/>
      <c r="I24" s="40"/>
      <c r="J24" s="40"/>
      <c r="K24" s="40"/>
    </row>
    <row r="25" spans="1:11">
      <c r="H25" s="40"/>
      <c r="I25" s="40"/>
      <c r="J25" s="40"/>
      <c r="K25" s="40"/>
    </row>
    <row r="26" spans="1:11">
      <c r="H26" s="40"/>
      <c r="I26" s="40"/>
      <c r="J26" s="40"/>
      <c r="K26" s="40"/>
    </row>
    <row r="27" spans="1:11">
      <c r="H27" s="40"/>
      <c r="I27" s="40"/>
      <c r="J27" s="40"/>
      <c r="K27" s="40"/>
    </row>
    <row r="28" spans="1:11">
      <c r="H28" s="40"/>
      <c r="I28" s="40"/>
      <c r="J28" s="40"/>
      <c r="K28" s="40"/>
    </row>
    <row r="29" spans="1:11">
      <c r="H29" s="40"/>
      <c r="I29" s="40"/>
      <c r="J29" s="40"/>
      <c r="K29" s="40"/>
    </row>
    <row r="30" spans="1:11">
      <c r="H30" s="40"/>
      <c r="I30" s="40"/>
      <c r="J30" s="40"/>
      <c r="K30" s="40"/>
    </row>
    <row r="31" spans="1:11">
      <c r="G31" s="299"/>
    </row>
    <row r="32" spans="1:11">
      <c r="F32" s="503"/>
      <c r="G32" s="503"/>
    </row>
  </sheetData>
  <mergeCells count="1">
    <mergeCell ref="F32:G3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5"/>
  <sheetViews>
    <sheetView zoomScale="90" zoomScaleNormal="90" workbookViewId="0">
      <selection activeCell="G24" sqref="G24"/>
    </sheetView>
  </sheetViews>
  <sheetFormatPr baseColWidth="10" defaultRowHeight="15"/>
  <cols>
    <col min="1" max="1" width="12.7109375" style="40" customWidth="1"/>
    <col min="2" max="2" width="19.28515625" style="40" customWidth="1"/>
    <col min="3" max="3" width="16.28515625" style="40" customWidth="1"/>
    <col min="4" max="4" width="18.7109375" style="40" customWidth="1"/>
    <col min="5" max="7" width="12.7109375" style="40" customWidth="1"/>
    <col min="8" max="11" width="12.7109375" customWidth="1"/>
    <col min="12" max="12" width="10.7109375" customWidth="1"/>
    <col min="13" max="13" width="14.28515625" customWidth="1"/>
  </cols>
  <sheetData>
    <row r="1" spans="1:13" ht="54.6" customHeight="1">
      <c r="A1" s="41"/>
      <c r="B1" s="42"/>
      <c r="C1" s="42"/>
      <c r="D1" s="42"/>
      <c r="E1" s="43"/>
      <c r="F1" s="42"/>
      <c r="G1" s="51"/>
      <c r="H1" s="198"/>
      <c r="I1" s="198"/>
      <c r="J1" s="198"/>
      <c r="K1" s="46"/>
      <c r="L1" s="46"/>
      <c r="M1" s="46">
        <v>45776</v>
      </c>
    </row>
    <row r="2" spans="1:13">
      <c r="A2" s="1"/>
      <c r="B2" s="39"/>
      <c r="C2" s="39"/>
      <c r="D2" s="39"/>
      <c r="E2" s="47"/>
      <c r="F2" s="39"/>
      <c r="K2" s="39"/>
      <c r="L2" s="39"/>
      <c r="M2" s="48"/>
    </row>
    <row r="3" spans="1:13" ht="19.5" thickBot="1">
      <c r="A3" s="49" t="s">
        <v>57</v>
      </c>
      <c r="B3" s="76" t="s">
        <v>146</v>
      </c>
      <c r="C3" s="76"/>
      <c r="D3" s="76"/>
      <c r="E3" s="50"/>
      <c r="F3" s="53"/>
      <c r="G3" s="51"/>
      <c r="H3" s="198"/>
      <c r="I3" s="198"/>
      <c r="J3" s="198"/>
      <c r="K3" s="54"/>
      <c r="L3" s="54"/>
      <c r="M3" s="54" t="s">
        <v>228</v>
      </c>
    </row>
    <row r="4" spans="1:13">
      <c r="A4" s="310" t="s">
        <v>166</v>
      </c>
      <c r="B4" s="312" t="s">
        <v>168</v>
      </c>
      <c r="C4" s="311" t="s">
        <v>264</v>
      </c>
      <c r="D4" s="311" t="s">
        <v>188</v>
      </c>
      <c r="E4" s="312" t="s">
        <v>184</v>
      </c>
      <c r="F4" s="311" t="s">
        <v>171</v>
      </c>
      <c r="G4" s="311" t="s">
        <v>177</v>
      </c>
      <c r="H4" s="311" t="s">
        <v>178</v>
      </c>
      <c r="I4" s="311" t="s">
        <v>181</v>
      </c>
      <c r="J4" s="311" t="s">
        <v>182</v>
      </c>
      <c r="K4" s="311" t="s">
        <v>185</v>
      </c>
      <c r="L4" s="312" t="s">
        <v>24</v>
      </c>
      <c r="M4" s="309" t="s">
        <v>166</v>
      </c>
    </row>
    <row r="5" spans="1:13">
      <c r="A5" s="65" t="s">
        <v>227</v>
      </c>
      <c r="B5" s="313" t="s">
        <v>243</v>
      </c>
      <c r="C5" s="307" t="s">
        <v>244</v>
      </c>
      <c r="D5" s="307" t="s">
        <v>226</v>
      </c>
      <c r="E5" s="313"/>
      <c r="F5" s="307">
        <v>1</v>
      </c>
      <c r="G5" s="307">
        <v>1</v>
      </c>
      <c r="H5" s="307">
        <v>1</v>
      </c>
      <c r="I5" s="307">
        <v>1</v>
      </c>
      <c r="J5" s="307">
        <v>1</v>
      </c>
      <c r="K5" s="307"/>
      <c r="L5" s="313">
        <f>SUM(E5:K5)</f>
        <v>5</v>
      </c>
      <c r="M5" s="302" t="str">
        <f>+A5</f>
        <v>A01</v>
      </c>
    </row>
    <row r="6" spans="1:13">
      <c r="A6" s="65" t="s">
        <v>229</v>
      </c>
      <c r="B6" s="313" t="s">
        <v>245</v>
      </c>
      <c r="C6" s="307" t="s">
        <v>259</v>
      </c>
      <c r="D6" s="307" t="s">
        <v>226</v>
      </c>
      <c r="E6" s="313"/>
      <c r="F6" s="307">
        <v>1</v>
      </c>
      <c r="G6" s="307">
        <v>1</v>
      </c>
      <c r="H6" s="307">
        <v>1</v>
      </c>
      <c r="I6" s="307">
        <v>1</v>
      </c>
      <c r="J6" s="307">
        <v>1</v>
      </c>
      <c r="K6" s="307"/>
      <c r="L6" s="313">
        <f t="shared" ref="L6:L19" si="0">SUM(E6:K6)</f>
        <v>5</v>
      </c>
      <c r="M6" s="302" t="str">
        <f t="shared" ref="M6:M19" si="1">+A6</f>
        <v>A02</v>
      </c>
    </row>
    <row r="7" spans="1:13">
      <c r="A7" s="65" t="s">
        <v>230</v>
      </c>
      <c r="B7" s="313" t="s">
        <v>246</v>
      </c>
      <c r="C7" s="307" t="s">
        <v>248</v>
      </c>
      <c r="D7" s="307" t="s">
        <v>226</v>
      </c>
      <c r="E7" s="313"/>
      <c r="F7" s="307">
        <v>1</v>
      </c>
      <c r="G7" s="307">
        <v>1</v>
      </c>
      <c r="H7" s="307">
        <v>1</v>
      </c>
      <c r="I7" s="307">
        <v>1</v>
      </c>
      <c r="J7" s="307">
        <v>1</v>
      </c>
      <c r="K7" s="307"/>
      <c r="L7" s="313">
        <f t="shared" si="0"/>
        <v>5</v>
      </c>
      <c r="M7" s="302" t="str">
        <f t="shared" si="1"/>
        <v>A03</v>
      </c>
    </row>
    <row r="8" spans="1:13" ht="46.9" customHeight="1">
      <c r="A8" s="65" t="s">
        <v>231</v>
      </c>
      <c r="B8" s="313" t="s">
        <v>247</v>
      </c>
      <c r="C8" s="307" t="s">
        <v>248</v>
      </c>
      <c r="D8" s="66" t="s">
        <v>261</v>
      </c>
      <c r="E8" s="313"/>
      <c r="F8" s="307">
        <v>4</v>
      </c>
      <c r="G8" s="307">
        <v>4</v>
      </c>
      <c r="H8" s="307">
        <v>5</v>
      </c>
      <c r="I8" s="307">
        <v>5</v>
      </c>
      <c r="J8" s="307">
        <v>5</v>
      </c>
      <c r="K8" s="307"/>
      <c r="L8" s="313">
        <f t="shared" si="0"/>
        <v>23</v>
      </c>
      <c r="M8" s="302" t="str">
        <f t="shared" si="1"/>
        <v>A04</v>
      </c>
    </row>
    <row r="9" spans="1:13">
      <c r="A9" s="65" t="s">
        <v>232</v>
      </c>
      <c r="B9" s="313" t="s">
        <v>249</v>
      </c>
      <c r="C9" s="307" t="s">
        <v>250</v>
      </c>
      <c r="D9" s="307" t="s">
        <v>225</v>
      </c>
      <c r="E9" s="313"/>
      <c r="F9" s="307">
        <v>1</v>
      </c>
      <c r="G9" s="307">
        <v>1</v>
      </c>
      <c r="H9" s="307">
        <v>1</v>
      </c>
      <c r="I9" s="307">
        <v>1</v>
      </c>
      <c r="J9" s="307">
        <v>1</v>
      </c>
      <c r="K9" s="307"/>
      <c r="L9" s="313">
        <f t="shared" si="0"/>
        <v>5</v>
      </c>
      <c r="M9" s="302" t="str">
        <f t="shared" si="1"/>
        <v>A05</v>
      </c>
    </row>
    <row r="10" spans="1:13">
      <c r="A10" s="65" t="s">
        <v>233</v>
      </c>
      <c r="B10" s="313" t="s">
        <v>252</v>
      </c>
      <c r="C10" s="307" t="s">
        <v>250</v>
      </c>
      <c r="D10" s="307" t="s">
        <v>221</v>
      </c>
      <c r="E10" s="313"/>
      <c r="F10" s="307">
        <v>1</v>
      </c>
      <c r="G10" s="307">
        <v>1</v>
      </c>
      <c r="H10" s="307">
        <v>1</v>
      </c>
      <c r="I10" s="307">
        <v>1</v>
      </c>
      <c r="J10" s="307">
        <v>1</v>
      </c>
      <c r="K10" s="307"/>
      <c r="L10" s="313">
        <f t="shared" si="0"/>
        <v>5</v>
      </c>
      <c r="M10" s="302" t="str">
        <f t="shared" si="1"/>
        <v>A06</v>
      </c>
    </row>
    <row r="11" spans="1:13">
      <c r="A11" s="65" t="s">
        <v>234</v>
      </c>
      <c r="B11" s="313" t="s">
        <v>253</v>
      </c>
      <c r="C11" s="307" t="s">
        <v>248</v>
      </c>
      <c r="D11" s="307" t="s">
        <v>257</v>
      </c>
      <c r="E11" s="313"/>
      <c r="F11" s="307">
        <v>2</v>
      </c>
      <c r="G11" s="307">
        <v>2</v>
      </c>
      <c r="H11" s="307">
        <v>2</v>
      </c>
      <c r="I11" s="307">
        <v>2</v>
      </c>
      <c r="J11" s="307">
        <v>2</v>
      </c>
      <c r="K11" s="307"/>
      <c r="L11" s="313">
        <f t="shared" si="0"/>
        <v>10</v>
      </c>
      <c r="M11" s="302" t="str">
        <f t="shared" si="1"/>
        <v>A07</v>
      </c>
    </row>
    <row r="12" spans="1:13">
      <c r="A12" s="65" t="s">
        <v>235</v>
      </c>
      <c r="B12" s="313" t="s">
        <v>254</v>
      </c>
      <c r="C12" s="307" t="s">
        <v>255</v>
      </c>
      <c r="D12" s="307" t="s">
        <v>256</v>
      </c>
      <c r="E12" s="313"/>
      <c r="F12" s="307">
        <v>1</v>
      </c>
      <c r="G12" s="307">
        <v>1</v>
      </c>
      <c r="H12" s="307">
        <v>1</v>
      </c>
      <c r="I12" s="307">
        <v>1</v>
      </c>
      <c r="J12" s="307">
        <v>1</v>
      </c>
      <c r="K12" s="307"/>
      <c r="L12" s="313">
        <f t="shared" si="0"/>
        <v>5</v>
      </c>
      <c r="M12" s="302" t="str">
        <f t="shared" si="1"/>
        <v>A08</v>
      </c>
    </row>
    <row r="13" spans="1:13">
      <c r="A13" s="65" t="s">
        <v>236</v>
      </c>
      <c r="B13" s="313" t="s">
        <v>258</v>
      </c>
      <c r="C13" s="307" t="s">
        <v>259</v>
      </c>
      <c r="D13" s="307" t="s">
        <v>222</v>
      </c>
      <c r="E13" s="313"/>
      <c r="F13" s="307">
        <v>1</v>
      </c>
      <c r="G13" s="307">
        <v>1</v>
      </c>
      <c r="H13" s="307"/>
      <c r="I13" s="307"/>
      <c r="J13" s="307"/>
      <c r="K13" s="307"/>
      <c r="L13" s="313">
        <f t="shared" si="0"/>
        <v>2</v>
      </c>
      <c r="M13" s="302" t="str">
        <f t="shared" si="1"/>
        <v>A09</v>
      </c>
    </row>
    <row r="14" spans="1:13">
      <c r="A14" s="65" t="s">
        <v>237</v>
      </c>
      <c r="B14" s="313" t="s">
        <v>260</v>
      </c>
      <c r="C14" s="307" t="s">
        <v>244</v>
      </c>
      <c r="D14" s="307" t="s">
        <v>222</v>
      </c>
      <c r="E14" s="313"/>
      <c r="F14" s="307">
        <v>1</v>
      </c>
      <c r="G14" s="307">
        <v>1</v>
      </c>
      <c r="H14" s="307"/>
      <c r="I14" s="307"/>
      <c r="J14" s="307"/>
      <c r="K14" s="307"/>
      <c r="L14" s="313">
        <f t="shared" si="0"/>
        <v>2</v>
      </c>
      <c r="M14" s="302" t="str">
        <f t="shared" si="1"/>
        <v>A10</v>
      </c>
    </row>
    <row r="15" spans="1:13">
      <c r="A15" s="65" t="s">
        <v>238</v>
      </c>
      <c r="B15" s="313" t="s">
        <v>262</v>
      </c>
      <c r="C15" s="307" t="s">
        <v>263</v>
      </c>
      <c r="D15" s="307" t="s">
        <v>185</v>
      </c>
      <c r="E15" s="313"/>
      <c r="F15" s="307"/>
      <c r="G15" s="307"/>
      <c r="H15" s="307"/>
      <c r="I15" s="307"/>
      <c r="J15" s="307"/>
      <c r="K15" s="307">
        <v>1</v>
      </c>
      <c r="L15" s="313">
        <f t="shared" ref="L15:L17" si="2">SUM(E15:K15)</f>
        <v>1</v>
      </c>
      <c r="M15" s="302" t="str">
        <f t="shared" ref="M15:M17" si="3">+A15</f>
        <v>A11</v>
      </c>
    </row>
    <row r="16" spans="1:13">
      <c r="A16" s="65" t="s">
        <v>265</v>
      </c>
      <c r="B16" s="313" t="s">
        <v>266</v>
      </c>
      <c r="C16" s="307" t="s">
        <v>267</v>
      </c>
      <c r="D16" s="307" t="s">
        <v>185</v>
      </c>
      <c r="E16" s="313"/>
      <c r="F16" s="307"/>
      <c r="G16" s="307"/>
      <c r="H16" s="307"/>
      <c r="I16" s="307"/>
      <c r="J16" s="307"/>
      <c r="K16" s="307">
        <v>1</v>
      </c>
      <c r="L16" s="313">
        <f t="shared" si="2"/>
        <v>1</v>
      </c>
      <c r="M16" s="302" t="str">
        <f t="shared" si="3"/>
        <v>A12</v>
      </c>
    </row>
    <row r="17" spans="1:13">
      <c r="A17" s="293" t="s">
        <v>268</v>
      </c>
      <c r="B17" s="318" t="s">
        <v>407</v>
      </c>
      <c r="C17" s="294" t="s">
        <v>408</v>
      </c>
      <c r="D17" s="294" t="s">
        <v>185</v>
      </c>
      <c r="E17" s="318"/>
      <c r="F17" s="294"/>
      <c r="G17" s="294"/>
      <c r="H17" s="294"/>
      <c r="I17" s="294"/>
      <c r="J17" s="294"/>
      <c r="K17" s="294">
        <v>2</v>
      </c>
      <c r="L17" s="318">
        <f t="shared" si="2"/>
        <v>2</v>
      </c>
      <c r="M17" s="295" t="str">
        <f t="shared" si="3"/>
        <v>A13</v>
      </c>
    </row>
    <row r="18" spans="1:13">
      <c r="A18" s="332" t="s">
        <v>299</v>
      </c>
      <c r="B18" s="333" t="s">
        <v>300</v>
      </c>
      <c r="C18" s="294" t="s">
        <v>301</v>
      </c>
      <c r="D18" s="294" t="s">
        <v>185</v>
      </c>
      <c r="E18" s="333"/>
      <c r="F18" s="294"/>
      <c r="G18" s="294"/>
      <c r="H18" s="294"/>
      <c r="I18" s="294"/>
      <c r="J18" s="294"/>
      <c r="K18" s="294">
        <v>1</v>
      </c>
      <c r="L18" s="333">
        <f t="shared" si="0"/>
        <v>1</v>
      </c>
      <c r="M18" s="334" t="str">
        <f t="shared" si="1"/>
        <v>A14</v>
      </c>
    </row>
    <row r="19" spans="1:13" ht="15.75" thickBot="1">
      <c r="A19" s="303" t="s">
        <v>406</v>
      </c>
      <c r="B19" s="314" t="s">
        <v>270</v>
      </c>
      <c r="C19" s="308" t="s">
        <v>269</v>
      </c>
      <c r="D19" s="308" t="s">
        <v>184</v>
      </c>
      <c r="E19" s="314">
        <v>1</v>
      </c>
      <c r="F19" s="308"/>
      <c r="G19" s="308"/>
      <c r="H19" s="308"/>
      <c r="I19" s="308"/>
      <c r="J19" s="308"/>
      <c r="K19" s="308"/>
      <c r="L19" s="314">
        <f t="shared" si="0"/>
        <v>1</v>
      </c>
      <c r="M19" s="304" t="str">
        <f t="shared" si="1"/>
        <v>A15</v>
      </c>
    </row>
    <row r="20" spans="1:13">
      <c r="A20" s="285"/>
      <c r="H20" s="40"/>
      <c r="I20" s="40"/>
      <c r="J20" s="40"/>
      <c r="K20" s="40"/>
    </row>
    <row r="21" spans="1:13">
      <c r="A21" s="285"/>
      <c r="H21" s="40"/>
      <c r="I21" s="40"/>
      <c r="J21" s="40"/>
      <c r="K21" s="40"/>
    </row>
    <row r="22" spans="1:13">
      <c r="H22" s="40"/>
      <c r="I22" s="40"/>
      <c r="J22" s="40"/>
      <c r="K22" s="40"/>
    </row>
    <row r="23" spans="1:13">
      <c r="H23" s="40"/>
      <c r="I23" s="40"/>
      <c r="J23" s="40"/>
      <c r="K23" s="40"/>
    </row>
    <row r="24" spans="1:13">
      <c r="H24" s="40"/>
      <c r="I24" s="40"/>
      <c r="J24" s="40"/>
      <c r="K24" s="40"/>
    </row>
    <row r="25" spans="1:13">
      <c r="H25" s="40"/>
      <c r="I25" s="40"/>
      <c r="J25" s="40"/>
      <c r="K25" s="40"/>
    </row>
    <row r="26" spans="1:13">
      <c r="H26" s="40"/>
      <c r="I26" s="40"/>
      <c r="J26" s="40"/>
      <c r="K26" s="40"/>
    </row>
    <row r="27" spans="1:13">
      <c r="H27" s="40"/>
      <c r="I27" s="40"/>
      <c r="J27" s="40"/>
      <c r="K27" s="40"/>
    </row>
    <row r="28" spans="1:13">
      <c r="H28" s="40"/>
      <c r="I28" s="40"/>
      <c r="J28" s="40"/>
      <c r="K28" s="40"/>
    </row>
    <row r="29" spans="1:13">
      <c r="H29" s="40"/>
      <c r="I29" s="40"/>
      <c r="J29" s="40"/>
      <c r="K29" s="40"/>
    </row>
    <row r="30" spans="1:13">
      <c r="H30" s="40"/>
      <c r="I30" s="40"/>
      <c r="J30" s="40"/>
      <c r="K30" s="40"/>
    </row>
    <row r="31" spans="1:13">
      <c r="H31" s="40"/>
      <c r="I31" s="40"/>
      <c r="J31" s="40"/>
      <c r="K31" s="40"/>
    </row>
    <row r="32" spans="1:13">
      <c r="H32" s="40"/>
      <c r="I32" s="40"/>
      <c r="J32" s="40"/>
      <c r="K32" s="40"/>
    </row>
    <row r="33" spans="6:11">
      <c r="H33" s="40"/>
      <c r="I33" s="40"/>
      <c r="J33" s="40"/>
      <c r="K33" s="40"/>
    </row>
    <row r="34" spans="6:11">
      <c r="G34" s="299"/>
    </row>
    <row r="35" spans="6:11">
      <c r="F35" s="503"/>
      <c r="G35" s="503"/>
    </row>
  </sheetData>
  <mergeCells count="1">
    <mergeCell ref="F35:G3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3"/>
  <sheetViews>
    <sheetView zoomScale="90" zoomScaleNormal="90" workbookViewId="0">
      <selection activeCell="A18" sqref="A18"/>
    </sheetView>
  </sheetViews>
  <sheetFormatPr baseColWidth="10" defaultRowHeight="15"/>
  <cols>
    <col min="1" max="1" width="12.7109375" style="40" customWidth="1"/>
    <col min="2" max="2" width="19.28515625" style="40" customWidth="1"/>
    <col min="3" max="3" width="17.5703125" style="40" customWidth="1"/>
    <col min="4" max="5" width="18.7109375" style="40" customWidth="1"/>
    <col min="6" max="8" width="12.7109375" style="40" customWidth="1"/>
    <col min="9" max="12" width="12.7109375" customWidth="1"/>
    <col min="13" max="13" width="10.7109375" customWidth="1"/>
    <col min="14" max="14" width="14.28515625" customWidth="1"/>
  </cols>
  <sheetData>
    <row r="1" spans="1:14" ht="54.6" customHeight="1">
      <c r="A1" s="41"/>
      <c r="B1" s="42"/>
      <c r="C1" s="42"/>
      <c r="D1" s="42"/>
      <c r="E1" s="42"/>
      <c r="F1" s="43"/>
      <c r="G1" s="42"/>
      <c r="H1" s="44"/>
      <c r="I1" s="319"/>
      <c r="J1" s="319"/>
      <c r="K1" s="319"/>
      <c r="L1" s="46"/>
      <c r="M1" s="46"/>
      <c r="N1" s="46">
        <v>45776</v>
      </c>
    </row>
    <row r="2" spans="1:14">
      <c r="A2" s="1"/>
      <c r="B2" s="39"/>
      <c r="C2" s="39"/>
      <c r="D2" s="39"/>
      <c r="E2" s="39"/>
      <c r="F2" s="47"/>
      <c r="G2" s="39"/>
      <c r="L2" s="39"/>
      <c r="M2" s="39"/>
      <c r="N2" s="48"/>
    </row>
    <row r="3" spans="1:14" ht="19.5" thickBot="1">
      <c r="A3" s="49" t="s">
        <v>57</v>
      </c>
      <c r="B3" s="76" t="s">
        <v>146</v>
      </c>
      <c r="C3" s="76"/>
      <c r="D3" s="76"/>
      <c r="E3" s="76"/>
      <c r="F3" s="50"/>
      <c r="G3" s="53"/>
      <c r="H3" s="51"/>
      <c r="I3" s="198"/>
      <c r="J3" s="198"/>
      <c r="K3" s="198"/>
      <c r="L3" s="54"/>
      <c r="M3" s="54"/>
      <c r="N3" s="54" t="s">
        <v>302</v>
      </c>
    </row>
    <row r="4" spans="1:14">
      <c r="A4" s="310" t="s">
        <v>166</v>
      </c>
      <c r="B4" s="312" t="s">
        <v>168</v>
      </c>
      <c r="C4" s="311" t="s">
        <v>264</v>
      </c>
      <c r="D4" s="311" t="s">
        <v>188</v>
      </c>
      <c r="E4" s="311" t="s">
        <v>166</v>
      </c>
      <c r="F4" s="312" t="s">
        <v>184</v>
      </c>
      <c r="G4" s="311" t="s">
        <v>171</v>
      </c>
      <c r="H4" s="311" t="s">
        <v>177</v>
      </c>
      <c r="I4" s="311" t="s">
        <v>178</v>
      </c>
      <c r="J4" s="311" t="s">
        <v>181</v>
      </c>
      <c r="K4" s="311" t="s">
        <v>182</v>
      </c>
      <c r="L4" s="311" t="s">
        <v>185</v>
      </c>
      <c r="M4" s="312" t="s">
        <v>24</v>
      </c>
      <c r="N4" s="309" t="s">
        <v>166</v>
      </c>
    </row>
    <row r="5" spans="1:14">
      <c r="A5" s="65" t="s">
        <v>271</v>
      </c>
      <c r="B5" s="313">
        <v>1.73</v>
      </c>
      <c r="C5" s="307" t="s">
        <v>277</v>
      </c>
      <c r="D5" s="307" t="s">
        <v>226</v>
      </c>
      <c r="E5" s="307" t="s">
        <v>280</v>
      </c>
      <c r="F5" s="313"/>
      <c r="G5" s="307">
        <v>1</v>
      </c>
      <c r="H5" s="307">
        <v>1</v>
      </c>
      <c r="I5" s="307">
        <v>1</v>
      </c>
      <c r="J5" s="307">
        <v>1</v>
      </c>
      <c r="K5" s="307">
        <v>1</v>
      </c>
      <c r="L5" s="307"/>
      <c r="M5" s="313">
        <f>SUM(F5:L5)</f>
        <v>5</v>
      </c>
      <c r="N5" s="302" t="str">
        <f>+A5</f>
        <v>B01</v>
      </c>
    </row>
    <row r="6" spans="1:14">
      <c r="A6" s="65" t="s">
        <v>272</v>
      </c>
      <c r="B6" s="313">
        <v>3.94</v>
      </c>
      <c r="C6" s="307" t="s">
        <v>277</v>
      </c>
      <c r="D6" s="307" t="s">
        <v>225</v>
      </c>
      <c r="E6" s="307" t="s">
        <v>281</v>
      </c>
      <c r="F6" s="313"/>
      <c r="G6" s="307">
        <v>1</v>
      </c>
      <c r="H6" s="307">
        <v>1</v>
      </c>
      <c r="I6" s="307">
        <v>1</v>
      </c>
      <c r="J6" s="307">
        <v>1</v>
      </c>
      <c r="K6" s="307">
        <v>1</v>
      </c>
      <c r="L6" s="307"/>
      <c r="M6" s="313">
        <f t="shared" ref="M6:M16" si="0">SUM(F6:L6)</f>
        <v>5</v>
      </c>
      <c r="N6" s="302" t="str">
        <f t="shared" ref="N6:N16" si="1">+A6</f>
        <v>B02</v>
      </c>
    </row>
    <row r="7" spans="1:14" ht="15" customHeight="1">
      <c r="A7" s="65" t="s">
        <v>273</v>
      </c>
      <c r="B7" s="313">
        <v>1.95</v>
      </c>
      <c r="C7" s="307" t="s">
        <v>277</v>
      </c>
      <c r="D7" s="307" t="s">
        <v>221</v>
      </c>
      <c r="E7" s="307" t="s">
        <v>280</v>
      </c>
      <c r="F7" s="313"/>
      <c r="G7" s="307">
        <v>1</v>
      </c>
      <c r="H7" s="307">
        <v>1</v>
      </c>
      <c r="I7" s="307">
        <v>1</v>
      </c>
      <c r="J7" s="307">
        <v>1</v>
      </c>
      <c r="K7" s="307">
        <v>1</v>
      </c>
      <c r="L7" s="307"/>
      <c r="M7" s="313">
        <f t="shared" si="0"/>
        <v>5</v>
      </c>
      <c r="N7" s="302" t="str">
        <f t="shared" si="1"/>
        <v>B03</v>
      </c>
    </row>
    <row r="8" spans="1:14" ht="15" customHeight="1">
      <c r="A8" s="65" t="s">
        <v>274</v>
      </c>
      <c r="B8" s="313" t="s">
        <v>278</v>
      </c>
      <c r="C8" s="307" t="s">
        <v>279</v>
      </c>
      <c r="D8" s="66" t="s">
        <v>251</v>
      </c>
      <c r="E8" s="66" t="s">
        <v>282</v>
      </c>
      <c r="F8" s="313"/>
      <c r="G8" s="307">
        <v>1</v>
      </c>
      <c r="H8" s="307">
        <v>1</v>
      </c>
      <c r="I8" s="307">
        <v>1</v>
      </c>
      <c r="J8" s="307">
        <v>1</v>
      </c>
      <c r="K8" s="307">
        <v>1</v>
      </c>
      <c r="L8" s="307"/>
      <c r="M8" s="313">
        <f t="shared" si="0"/>
        <v>5</v>
      </c>
      <c r="N8" s="302" t="str">
        <f t="shared" si="1"/>
        <v>B04</v>
      </c>
    </row>
    <row r="9" spans="1:14">
      <c r="A9" s="65" t="s">
        <v>275</v>
      </c>
      <c r="B9" s="313">
        <v>7.14</v>
      </c>
      <c r="C9" s="307" t="s">
        <v>279</v>
      </c>
      <c r="D9" s="307" t="s">
        <v>257</v>
      </c>
      <c r="E9" s="66" t="s">
        <v>282</v>
      </c>
      <c r="F9" s="313"/>
      <c r="G9" s="307">
        <v>1</v>
      </c>
      <c r="H9" s="307">
        <v>1</v>
      </c>
      <c r="I9" s="307">
        <v>1</v>
      </c>
      <c r="J9" s="307">
        <v>1</v>
      </c>
      <c r="K9" s="307">
        <v>1</v>
      </c>
      <c r="L9" s="307"/>
      <c r="M9" s="313">
        <f t="shared" si="0"/>
        <v>5</v>
      </c>
      <c r="N9" s="302" t="str">
        <f t="shared" si="1"/>
        <v>B05</v>
      </c>
    </row>
    <row r="10" spans="1:14">
      <c r="A10" s="65" t="s">
        <v>276</v>
      </c>
      <c r="B10" s="313">
        <v>7.71</v>
      </c>
      <c r="C10" s="307" t="s">
        <v>279</v>
      </c>
      <c r="D10" s="307" t="s">
        <v>283</v>
      </c>
      <c r="E10" s="66" t="s">
        <v>282</v>
      </c>
      <c r="F10" s="313"/>
      <c r="G10" s="307">
        <v>1</v>
      </c>
      <c r="H10" s="307">
        <v>1</v>
      </c>
      <c r="I10" s="307"/>
      <c r="J10" s="307"/>
      <c r="K10" s="307"/>
      <c r="L10" s="307"/>
      <c r="M10" s="313">
        <f t="shared" si="0"/>
        <v>2</v>
      </c>
      <c r="N10" s="302" t="str">
        <f t="shared" si="1"/>
        <v>B06</v>
      </c>
    </row>
    <row r="11" spans="1:14">
      <c r="A11" s="65" t="s">
        <v>410</v>
      </c>
      <c r="B11" s="313" t="s">
        <v>284</v>
      </c>
      <c r="C11" s="307" t="s">
        <v>279</v>
      </c>
      <c r="D11" s="307" t="s">
        <v>285</v>
      </c>
      <c r="E11" s="66" t="s">
        <v>282</v>
      </c>
      <c r="F11" s="313"/>
      <c r="G11" s="307"/>
      <c r="H11" s="307"/>
      <c r="I11" s="307">
        <v>1</v>
      </c>
      <c r="J11" s="307"/>
      <c r="K11" s="307"/>
      <c r="L11" s="307"/>
      <c r="M11" s="313">
        <f t="shared" si="0"/>
        <v>1</v>
      </c>
      <c r="N11" s="302" t="str">
        <f t="shared" si="1"/>
        <v>B07</v>
      </c>
    </row>
    <row r="12" spans="1:14">
      <c r="A12" s="65" t="s">
        <v>411</v>
      </c>
      <c r="B12" s="313" t="s">
        <v>286</v>
      </c>
      <c r="C12" s="307" t="s">
        <v>279</v>
      </c>
      <c r="D12" s="307" t="s">
        <v>287</v>
      </c>
      <c r="E12" s="66" t="s">
        <v>282</v>
      </c>
      <c r="F12" s="313"/>
      <c r="G12" s="307"/>
      <c r="H12" s="307"/>
      <c r="I12" s="307"/>
      <c r="J12" s="307">
        <v>1</v>
      </c>
      <c r="K12" s="307">
        <v>1</v>
      </c>
      <c r="L12" s="307"/>
      <c r="M12" s="313">
        <f t="shared" si="0"/>
        <v>2</v>
      </c>
      <c r="N12" s="302" t="str">
        <f t="shared" si="1"/>
        <v>B08</v>
      </c>
    </row>
    <row r="13" spans="1:14">
      <c r="A13" s="65" t="s">
        <v>412</v>
      </c>
      <c r="B13" s="313" t="s">
        <v>289</v>
      </c>
      <c r="C13" s="307" t="s">
        <v>277</v>
      </c>
      <c r="D13" s="307" t="s">
        <v>263</v>
      </c>
      <c r="E13" s="307" t="s">
        <v>281</v>
      </c>
      <c r="F13" s="313"/>
      <c r="G13" s="307"/>
      <c r="H13" s="307"/>
      <c r="I13" s="307"/>
      <c r="J13" s="307"/>
      <c r="K13" s="307"/>
      <c r="L13" s="307">
        <v>1</v>
      </c>
      <c r="M13" s="313">
        <f t="shared" si="0"/>
        <v>1</v>
      </c>
      <c r="N13" s="302" t="str">
        <f t="shared" si="1"/>
        <v>B09</v>
      </c>
    </row>
    <row r="14" spans="1:14">
      <c r="A14" s="65" t="s">
        <v>413</v>
      </c>
      <c r="B14" s="313" t="s">
        <v>288</v>
      </c>
      <c r="C14" s="307" t="s">
        <v>277</v>
      </c>
      <c r="D14" s="307" t="s">
        <v>263</v>
      </c>
      <c r="E14" s="307" t="s">
        <v>281</v>
      </c>
      <c r="F14" s="313"/>
      <c r="G14" s="307"/>
      <c r="H14" s="307"/>
      <c r="I14" s="307"/>
      <c r="J14" s="307"/>
      <c r="K14" s="307"/>
      <c r="L14" s="307">
        <v>1</v>
      </c>
      <c r="M14" s="313">
        <f t="shared" si="0"/>
        <v>1</v>
      </c>
      <c r="N14" s="302" t="str">
        <f t="shared" si="1"/>
        <v>B10</v>
      </c>
    </row>
    <row r="15" spans="1:14">
      <c r="A15" s="65" t="s">
        <v>414</v>
      </c>
      <c r="B15" s="313">
        <v>2.0499999999999998</v>
      </c>
      <c r="C15" s="307" t="s">
        <v>277</v>
      </c>
      <c r="D15" s="307" t="s">
        <v>263</v>
      </c>
      <c r="E15" s="307" t="s">
        <v>281</v>
      </c>
      <c r="F15" s="313"/>
      <c r="G15" s="307"/>
      <c r="H15" s="307"/>
      <c r="I15" s="307"/>
      <c r="J15" s="307"/>
      <c r="K15" s="307"/>
      <c r="L15" s="307">
        <v>1</v>
      </c>
      <c r="M15" s="313">
        <f t="shared" si="0"/>
        <v>1</v>
      </c>
      <c r="N15" s="302" t="str">
        <f t="shared" si="1"/>
        <v>B11</v>
      </c>
    </row>
    <row r="16" spans="1:14" ht="15.75" thickBot="1">
      <c r="A16" s="65" t="s">
        <v>415</v>
      </c>
      <c r="B16" s="314" t="s">
        <v>290</v>
      </c>
      <c r="C16" s="308" t="s">
        <v>279</v>
      </c>
      <c r="D16" s="308" t="s">
        <v>263</v>
      </c>
      <c r="E16" s="308" t="s">
        <v>282</v>
      </c>
      <c r="F16" s="314"/>
      <c r="G16" s="308"/>
      <c r="H16" s="308"/>
      <c r="I16" s="308"/>
      <c r="J16" s="308"/>
      <c r="K16" s="308"/>
      <c r="L16" s="308">
        <v>1</v>
      </c>
      <c r="M16" s="314">
        <f t="shared" si="0"/>
        <v>1</v>
      </c>
      <c r="N16" s="304" t="str">
        <f t="shared" si="1"/>
        <v>B12</v>
      </c>
    </row>
    <row r="17" spans="1:14" ht="15.75" thickBot="1">
      <c r="A17" s="300" t="s">
        <v>291</v>
      </c>
      <c r="B17" s="320" t="s">
        <v>294</v>
      </c>
      <c r="C17" s="306" t="s">
        <v>279</v>
      </c>
      <c r="D17" s="306" t="s">
        <v>224</v>
      </c>
      <c r="E17" s="306" t="s">
        <v>297</v>
      </c>
      <c r="F17" s="320"/>
      <c r="G17" s="306">
        <v>1</v>
      </c>
      <c r="H17" s="306">
        <v>1</v>
      </c>
      <c r="I17" s="306">
        <v>1</v>
      </c>
      <c r="J17" s="306">
        <v>1</v>
      </c>
      <c r="K17" s="306">
        <v>1</v>
      </c>
      <c r="L17" s="306"/>
      <c r="M17" s="320">
        <f t="shared" ref="M17:M20" si="2">SUM(F17:L17)</f>
        <v>5</v>
      </c>
      <c r="N17" s="301" t="str">
        <f t="shared" ref="N17:N20" si="3">+A17</f>
        <v>CA01</v>
      </c>
    </row>
    <row r="18" spans="1:14">
      <c r="A18" s="65" t="s">
        <v>292</v>
      </c>
      <c r="B18" s="313" t="s">
        <v>296</v>
      </c>
      <c r="C18" s="307" t="s">
        <v>279</v>
      </c>
      <c r="D18" s="307" t="s">
        <v>222</v>
      </c>
      <c r="E18" s="306" t="s">
        <v>409</v>
      </c>
      <c r="F18" s="313"/>
      <c r="G18" s="307">
        <v>1</v>
      </c>
      <c r="H18" s="307">
        <v>1</v>
      </c>
      <c r="I18" s="307">
        <v>1</v>
      </c>
      <c r="J18" s="307">
        <v>1</v>
      </c>
      <c r="K18" s="307">
        <v>1</v>
      </c>
      <c r="L18" s="307"/>
      <c r="M18" s="313">
        <f t="shared" si="2"/>
        <v>5</v>
      </c>
      <c r="N18" s="302" t="str">
        <f t="shared" si="3"/>
        <v>CA02</v>
      </c>
    </row>
    <row r="19" spans="1:14">
      <c r="A19" s="65" t="s">
        <v>293</v>
      </c>
      <c r="B19" s="313" t="s">
        <v>295</v>
      </c>
      <c r="C19" s="307" t="s">
        <v>279</v>
      </c>
      <c r="D19" s="307" t="s">
        <v>224</v>
      </c>
      <c r="E19" s="307" t="s">
        <v>298</v>
      </c>
      <c r="F19" s="313"/>
      <c r="G19" s="307">
        <v>1</v>
      </c>
      <c r="H19" s="307">
        <v>1</v>
      </c>
      <c r="I19" s="307">
        <v>1</v>
      </c>
      <c r="J19" s="307">
        <v>1</v>
      </c>
      <c r="K19" s="307">
        <v>1</v>
      </c>
      <c r="L19" s="307"/>
      <c r="M19" s="313">
        <f t="shared" ref="M19" si="4">SUM(F19:L19)</f>
        <v>5</v>
      </c>
      <c r="N19" s="302" t="str">
        <f t="shared" ref="N19" si="5">+A19</f>
        <v>CA03</v>
      </c>
    </row>
    <row r="20" spans="1:14" ht="15.75" thickBot="1">
      <c r="A20" s="303" t="s">
        <v>379</v>
      </c>
      <c r="B20" s="314"/>
      <c r="C20" s="308" t="s">
        <v>277</v>
      </c>
      <c r="D20" s="308" t="s">
        <v>263</v>
      </c>
      <c r="E20" s="308" t="s">
        <v>380</v>
      </c>
      <c r="F20" s="314"/>
      <c r="G20" s="308"/>
      <c r="H20" s="308"/>
      <c r="I20" s="308"/>
      <c r="J20" s="308"/>
      <c r="K20" s="308"/>
      <c r="L20" s="308">
        <v>1</v>
      </c>
      <c r="M20" s="314">
        <f t="shared" si="2"/>
        <v>1</v>
      </c>
      <c r="N20" s="304" t="str">
        <f t="shared" si="3"/>
        <v>CA04</v>
      </c>
    </row>
    <row r="21" spans="1:14">
      <c r="I21" s="40"/>
      <c r="J21" s="40"/>
      <c r="K21" s="40"/>
      <c r="L21" s="40"/>
    </row>
    <row r="22" spans="1:14">
      <c r="I22" s="40"/>
      <c r="J22" s="40"/>
      <c r="K22" s="40"/>
      <c r="L22" s="40"/>
    </row>
    <row r="23" spans="1:14">
      <c r="I23" s="40"/>
      <c r="J23" s="40"/>
      <c r="K23" s="40"/>
      <c r="L23" s="40"/>
    </row>
    <row r="24" spans="1:14">
      <c r="I24" s="40"/>
      <c r="J24" s="40"/>
      <c r="K24" s="40"/>
      <c r="L24" s="40"/>
    </row>
    <row r="25" spans="1:14">
      <c r="I25" s="40"/>
      <c r="J25" s="40"/>
      <c r="K25" s="40"/>
      <c r="L25" s="40"/>
    </row>
    <row r="26" spans="1:14">
      <c r="I26" s="40"/>
      <c r="J26" s="40"/>
      <c r="K26" s="40"/>
      <c r="L26" s="40"/>
    </row>
    <row r="27" spans="1:14">
      <c r="I27" s="40"/>
      <c r="J27" s="40"/>
      <c r="K27" s="40"/>
      <c r="L27" s="40"/>
    </row>
    <row r="28" spans="1:14">
      <c r="I28" s="40"/>
      <c r="J28" s="40"/>
      <c r="K28" s="40"/>
      <c r="L28" s="40"/>
    </row>
    <row r="29" spans="1:14">
      <c r="I29" s="40"/>
      <c r="J29" s="40"/>
      <c r="K29" s="40"/>
      <c r="L29" s="40"/>
    </row>
    <row r="30" spans="1:14">
      <c r="I30" s="40"/>
      <c r="J30" s="40"/>
      <c r="K30" s="40"/>
      <c r="L30" s="40"/>
    </row>
    <row r="31" spans="1:14">
      <c r="I31" s="40"/>
      <c r="J31" s="40"/>
      <c r="K31" s="40"/>
      <c r="L31" s="40"/>
    </row>
    <row r="32" spans="1:14">
      <c r="H32" s="299"/>
    </row>
    <row r="33" spans="7:8">
      <c r="G33" s="503"/>
      <c r="H33" s="503"/>
    </row>
  </sheetData>
  <mergeCells count="1">
    <mergeCell ref="G33:H3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0"/>
  <sheetViews>
    <sheetView zoomScale="90" zoomScaleNormal="90" workbookViewId="0">
      <selection activeCell="B26" sqref="B26"/>
    </sheetView>
  </sheetViews>
  <sheetFormatPr baseColWidth="10" defaultRowHeight="15"/>
  <cols>
    <col min="1" max="1" width="12.7109375" style="40" customWidth="1"/>
    <col min="2" max="2" width="19.28515625" style="40" customWidth="1"/>
    <col min="3" max="3" width="16.28515625" style="40" customWidth="1"/>
    <col min="4" max="4" width="17.7109375" style="40" customWidth="1"/>
    <col min="5" max="5" width="27.5703125" style="40" customWidth="1"/>
    <col min="6" max="8" width="8.28515625" style="40" customWidth="1"/>
    <col min="9" max="12" width="8.28515625" customWidth="1"/>
    <col min="13" max="13" width="10.7109375" customWidth="1"/>
    <col min="14" max="14" width="14.28515625" customWidth="1"/>
  </cols>
  <sheetData>
    <row r="1" spans="1:14" ht="54.6" customHeight="1">
      <c r="A1" s="41"/>
      <c r="B1" s="42"/>
      <c r="C1" s="42"/>
      <c r="D1" s="42"/>
      <c r="E1" s="42"/>
      <c r="F1" s="43"/>
      <c r="G1" s="42"/>
      <c r="H1" s="44"/>
      <c r="I1" s="319"/>
      <c r="J1" s="319"/>
      <c r="K1" s="319"/>
      <c r="L1" s="46"/>
      <c r="M1" s="46"/>
      <c r="N1" s="46">
        <v>45776</v>
      </c>
    </row>
    <row r="2" spans="1:14" ht="15.75" thickBot="1">
      <c r="A2" s="1"/>
      <c r="B2" s="39"/>
      <c r="C2" s="39"/>
      <c r="D2" s="39"/>
      <c r="E2" s="39"/>
      <c r="F2" s="47"/>
      <c r="G2" s="39"/>
      <c r="L2" s="39"/>
      <c r="M2" s="39"/>
      <c r="N2" s="48"/>
    </row>
    <row r="3" spans="1:14" ht="19.5" thickBot="1">
      <c r="A3" s="329" t="s">
        <v>57</v>
      </c>
      <c r="B3" s="330" t="s">
        <v>146</v>
      </c>
      <c r="C3" s="330"/>
      <c r="D3" s="330"/>
      <c r="E3" s="330"/>
      <c r="F3" s="43"/>
      <c r="G3" s="42"/>
      <c r="H3" s="44"/>
      <c r="I3" s="319"/>
      <c r="J3" s="319"/>
      <c r="K3" s="319"/>
      <c r="L3" s="331"/>
      <c r="M3" s="331"/>
      <c r="N3" s="331" t="s">
        <v>367</v>
      </c>
    </row>
    <row r="4" spans="1:14" ht="15.75" thickBot="1">
      <c r="A4" s="321" t="s">
        <v>166</v>
      </c>
      <c r="B4" s="322" t="s">
        <v>333</v>
      </c>
      <c r="C4" s="323" t="s">
        <v>264</v>
      </c>
      <c r="D4" s="323" t="s">
        <v>188</v>
      </c>
      <c r="E4" s="323" t="s">
        <v>166</v>
      </c>
      <c r="F4" s="322" t="s">
        <v>184</v>
      </c>
      <c r="G4" s="323" t="s">
        <v>171</v>
      </c>
      <c r="H4" s="323" t="s">
        <v>177</v>
      </c>
      <c r="I4" s="323" t="s">
        <v>178</v>
      </c>
      <c r="J4" s="323" t="s">
        <v>181</v>
      </c>
      <c r="K4" s="323" t="s">
        <v>182</v>
      </c>
      <c r="L4" s="323" t="s">
        <v>185</v>
      </c>
      <c r="M4" s="322" t="s">
        <v>24</v>
      </c>
      <c r="N4" s="324" t="s">
        <v>166</v>
      </c>
    </row>
    <row r="5" spans="1:14" ht="27.6" customHeight="1">
      <c r="A5" s="300" t="s">
        <v>366</v>
      </c>
      <c r="B5" s="320">
        <v>1.1000000000000001</v>
      </c>
      <c r="C5" s="306" t="s">
        <v>368</v>
      </c>
      <c r="D5" s="325" t="s">
        <v>369</v>
      </c>
      <c r="E5" s="327" t="s">
        <v>370</v>
      </c>
      <c r="F5" s="320">
        <v>2</v>
      </c>
      <c r="G5" s="306">
        <v>2</v>
      </c>
      <c r="H5" s="306">
        <v>2</v>
      </c>
      <c r="I5" s="306">
        <v>2</v>
      </c>
      <c r="J5" s="306">
        <v>2</v>
      </c>
      <c r="K5" s="306">
        <v>2</v>
      </c>
      <c r="L5" s="306">
        <v>2</v>
      </c>
      <c r="M5" s="320">
        <f>SUM(F5:L5)</f>
        <v>14</v>
      </c>
      <c r="N5" s="301" t="str">
        <f>+A5</f>
        <v>H01</v>
      </c>
    </row>
    <row r="6" spans="1:14">
      <c r="A6" s="65" t="s">
        <v>371</v>
      </c>
      <c r="B6" s="313"/>
      <c r="C6" s="307" t="s">
        <v>372</v>
      </c>
      <c r="D6" s="307" t="s">
        <v>369</v>
      </c>
      <c r="E6" s="316" t="s">
        <v>373</v>
      </c>
      <c r="F6" s="313"/>
      <c r="G6" s="307">
        <v>2</v>
      </c>
      <c r="H6" s="307">
        <v>2</v>
      </c>
      <c r="I6" s="307">
        <v>2</v>
      </c>
      <c r="J6" s="307">
        <v>2</v>
      </c>
      <c r="K6" s="307">
        <v>2</v>
      </c>
      <c r="L6" s="307">
        <v>2</v>
      </c>
      <c r="M6" s="313">
        <f t="shared" ref="M6:M10" si="0">SUM(F6:L6)</f>
        <v>12</v>
      </c>
      <c r="N6" s="302" t="str">
        <f t="shared" ref="N6:N10" si="1">+A6</f>
        <v>H02</v>
      </c>
    </row>
    <row r="7" spans="1:14" ht="15" customHeight="1">
      <c r="A7" s="65" t="s">
        <v>374</v>
      </c>
      <c r="B7" s="313"/>
      <c r="C7" s="307" t="s">
        <v>377</v>
      </c>
      <c r="D7" s="307" t="s">
        <v>310</v>
      </c>
      <c r="E7" s="316" t="s">
        <v>375</v>
      </c>
      <c r="F7" s="313"/>
      <c r="G7" s="307">
        <v>2</v>
      </c>
      <c r="H7" s="307">
        <v>2</v>
      </c>
      <c r="I7" s="307">
        <v>2</v>
      </c>
      <c r="J7" s="307">
        <v>2</v>
      </c>
      <c r="K7" s="307">
        <v>2</v>
      </c>
      <c r="L7" s="307"/>
      <c r="M7" s="313">
        <f t="shared" si="0"/>
        <v>10</v>
      </c>
      <c r="N7" s="302" t="str">
        <f t="shared" si="1"/>
        <v>H03</v>
      </c>
    </row>
    <row r="8" spans="1:14" ht="15" customHeight="1">
      <c r="A8" s="65" t="s">
        <v>376</v>
      </c>
      <c r="B8" s="313"/>
      <c r="C8" s="307" t="s">
        <v>378</v>
      </c>
      <c r="D8" s="307" t="s">
        <v>263</v>
      </c>
      <c r="E8" s="316" t="s">
        <v>375</v>
      </c>
      <c r="F8" s="313"/>
      <c r="G8" s="307"/>
      <c r="H8" s="307"/>
      <c r="I8" s="307"/>
      <c r="J8" s="307"/>
      <c r="K8" s="307"/>
      <c r="L8" s="307">
        <v>1</v>
      </c>
      <c r="M8" s="313">
        <f t="shared" si="0"/>
        <v>1</v>
      </c>
      <c r="N8" s="302" t="str">
        <f t="shared" si="1"/>
        <v>H04</v>
      </c>
    </row>
    <row r="9" spans="1:14">
      <c r="A9" s="65" t="s">
        <v>381</v>
      </c>
      <c r="B9" s="313" t="s">
        <v>387</v>
      </c>
      <c r="C9" s="307" t="s">
        <v>382</v>
      </c>
      <c r="D9" s="307" t="s">
        <v>383</v>
      </c>
      <c r="E9" s="316" t="s">
        <v>384</v>
      </c>
      <c r="F9" s="313"/>
      <c r="G9" s="307"/>
      <c r="H9" s="307"/>
      <c r="I9" s="307"/>
      <c r="J9" s="307"/>
      <c r="K9" s="307"/>
      <c r="L9" s="307">
        <v>1</v>
      </c>
      <c r="M9" s="313">
        <f t="shared" si="0"/>
        <v>1</v>
      </c>
      <c r="N9" s="302" t="str">
        <f t="shared" si="1"/>
        <v>H05</v>
      </c>
    </row>
    <row r="10" spans="1:14">
      <c r="A10" s="65" t="s">
        <v>385</v>
      </c>
      <c r="B10" s="313" t="s">
        <v>386</v>
      </c>
      <c r="C10" s="307" t="s">
        <v>382</v>
      </c>
      <c r="D10" s="307" t="s">
        <v>388</v>
      </c>
      <c r="E10" s="316" t="s">
        <v>384</v>
      </c>
      <c r="F10" s="313"/>
      <c r="G10" s="307"/>
      <c r="H10" s="307"/>
      <c r="I10" s="307"/>
      <c r="J10" s="307"/>
      <c r="K10" s="307"/>
      <c r="L10" s="307">
        <v>1</v>
      </c>
      <c r="M10" s="313">
        <f t="shared" si="0"/>
        <v>1</v>
      </c>
      <c r="N10" s="302" t="str">
        <f t="shared" si="1"/>
        <v>H06</v>
      </c>
    </row>
    <row r="11" spans="1:14">
      <c r="A11" s="65" t="s">
        <v>389</v>
      </c>
      <c r="B11" s="313">
        <v>2.08</v>
      </c>
      <c r="C11" s="307" t="s">
        <v>382</v>
      </c>
      <c r="D11" s="307" t="s">
        <v>388</v>
      </c>
      <c r="E11" s="316" t="s">
        <v>384</v>
      </c>
      <c r="F11" s="313"/>
      <c r="G11" s="307"/>
      <c r="H11" s="307"/>
      <c r="I11" s="307"/>
      <c r="J11" s="307"/>
      <c r="K11" s="307"/>
      <c r="L11" s="307">
        <v>1</v>
      </c>
      <c r="M11" s="313">
        <f t="shared" ref="M11" si="2">SUM(F11:L11)</f>
        <v>1</v>
      </c>
      <c r="N11" s="302" t="str">
        <f t="shared" ref="N11" si="3">+A11</f>
        <v>H07</v>
      </c>
    </row>
    <row r="12" spans="1:14">
      <c r="A12" s="65" t="s">
        <v>390</v>
      </c>
      <c r="B12" s="313" t="s">
        <v>391</v>
      </c>
      <c r="C12" s="307" t="s">
        <v>392</v>
      </c>
      <c r="D12" s="307" t="s">
        <v>1</v>
      </c>
      <c r="E12" s="316" t="s">
        <v>393</v>
      </c>
      <c r="F12" s="313">
        <v>1</v>
      </c>
      <c r="G12" s="307"/>
      <c r="H12" s="307"/>
      <c r="I12" s="307"/>
      <c r="J12" s="307"/>
      <c r="K12" s="307"/>
      <c r="L12" s="307"/>
      <c r="M12" s="313">
        <f t="shared" ref="M12" si="4">SUM(F12:L12)</f>
        <v>1</v>
      </c>
      <c r="N12" s="302" t="str">
        <f t="shared" ref="N12" si="5">+A12</f>
        <v>H08</v>
      </c>
    </row>
    <row r="13" spans="1:14">
      <c r="A13" s="65" t="s">
        <v>394</v>
      </c>
      <c r="B13" s="313" t="s">
        <v>395</v>
      </c>
      <c r="C13" s="307" t="s">
        <v>392</v>
      </c>
      <c r="D13" s="307" t="s">
        <v>1</v>
      </c>
      <c r="E13" s="316" t="s">
        <v>396</v>
      </c>
      <c r="F13" s="313">
        <v>1</v>
      </c>
      <c r="G13" s="307"/>
      <c r="H13" s="307"/>
      <c r="I13" s="307"/>
      <c r="J13" s="307"/>
      <c r="K13" s="307"/>
      <c r="L13" s="307"/>
      <c r="M13" s="313">
        <f t="shared" ref="M13" si="6">SUM(F13:L13)</f>
        <v>1</v>
      </c>
      <c r="N13" s="302" t="str">
        <f t="shared" ref="N13" si="7">+A13</f>
        <v>H09</v>
      </c>
    </row>
    <row r="14" spans="1:14">
      <c r="A14" s="65" t="s">
        <v>397</v>
      </c>
      <c r="B14" s="313" t="s">
        <v>398</v>
      </c>
      <c r="C14" s="307" t="s">
        <v>392</v>
      </c>
      <c r="D14" s="307" t="s">
        <v>1</v>
      </c>
      <c r="E14" s="316" t="s">
        <v>399</v>
      </c>
      <c r="F14" s="313">
        <v>1</v>
      </c>
      <c r="G14" s="307"/>
      <c r="H14" s="307"/>
      <c r="I14" s="307"/>
      <c r="J14" s="307"/>
      <c r="K14" s="307"/>
      <c r="L14" s="307"/>
      <c r="M14" s="313">
        <f t="shared" ref="M14" si="8">SUM(F14:L14)</f>
        <v>1</v>
      </c>
      <c r="N14" s="302" t="str">
        <f t="shared" ref="N14" si="9">+A14</f>
        <v>H10</v>
      </c>
    </row>
    <row r="15" spans="1:14">
      <c r="A15" s="65" t="s">
        <v>400</v>
      </c>
      <c r="B15" s="313" t="s">
        <v>398</v>
      </c>
      <c r="C15" s="307" t="s">
        <v>392</v>
      </c>
      <c r="D15" s="307" t="s">
        <v>1</v>
      </c>
      <c r="E15" s="316" t="s">
        <v>399</v>
      </c>
      <c r="F15" s="313">
        <v>1</v>
      </c>
      <c r="G15" s="307"/>
      <c r="H15" s="307"/>
      <c r="I15" s="307"/>
      <c r="J15" s="307"/>
      <c r="K15" s="307"/>
      <c r="L15" s="307"/>
      <c r="M15" s="313">
        <f t="shared" ref="M15:M16" si="10">SUM(F15:L15)</f>
        <v>1</v>
      </c>
      <c r="N15" s="302" t="str">
        <f t="shared" ref="N15:N16" si="11">+A15</f>
        <v>H11</v>
      </c>
    </row>
    <row r="16" spans="1:14">
      <c r="A16" s="65" t="s">
        <v>401</v>
      </c>
      <c r="B16" s="313" t="s">
        <v>402</v>
      </c>
      <c r="C16" s="307" t="s">
        <v>392</v>
      </c>
      <c r="D16" s="307" t="s">
        <v>1</v>
      </c>
      <c r="E16" s="316" t="s">
        <v>399</v>
      </c>
      <c r="F16" s="313">
        <v>1</v>
      </c>
      <c r="G16" s="307"/>
      <c r="H16" s="307"/>
      <c r="I16" s="307"/>
      <c r="J16" s="307"/>
      <c r="K16" s="307"/>
      <c r="L16" s="307"/>
      <c r="M16" s="313">
        <f t="shared" si="10"/>
        <v>1</v>
      </c>
      <c r="N16" s="302" t="str">
        <f t="shared" si="11"/>
        <v>H12</v>
      </c>
    </row>
    <row r="17" spans="1:14" ht="15.75" thickBot="1">
      <c r="A17" s="303" t="s">
        <v>416</v>
      </c>
      <c r="B17" s="314"/>
      <c r="C17" s="308" t="s">
        <v>403</v>
      </c>
      <c r="D17" s="308" t="s">
        <v>404</v>
      </c>
      <c r="E17" s="317" t="s">
        <v>405</v>
      </c>
      <c r="F17" s="314">
        <v>3</v>
      </c>
      <c r="G17" s="308"/>
      <c r="H17" s="308"/>
      <c r="I17" s="308"/>
      <c r="J17" s="308"/>
      <c r="K17" s="308"/>
      <c r="L17" s="308"/>
      <c r="M17" s="314">
        <f t="shared" ref="M17" si="12">SUM(F17:L17)</f>
        <v>3</v>
      </c>
      <c r="N17" s="304" t="str">
        <f t="shared" ref="N17" si="13">+A17</f>
        <v>H14</v>
      </c>
    </row>
    <row r="18" spans="1:14">
      <c r="I18" s="40"/>
      <c r="J18" s="40"/>
      <c r="K18" s="40"/>
      <c r="L18" s="40"/>
    </row>
    <row r="19" spans="1:14">
      <c r="I19" s="40"/>
      <c r="J19" s="40"/>
      <c r="K19" s="40"/>
      <c r="L19" s="40"/>
    </row>
    <row r="20" spans="1:14">
      <c r="I20" s="40"/>
      <c r="J20" s="40"/>
      <c r="K20" s="40"/>
      <c r="L20" s="40"/>
    </row>
    <row r="21" spans="1:14">
      <c r="I21" s="40"/>
      <c r="J21" s="40"/>
      <c r="K21" s="40"/>
      <c r="L21" s="40"/>
    </row>
    <row r="22" spans="1:14">
      <c r="I22" s="40"/>
      <c r="J22" s="40"/>
      <c r="K22" s="40"/>
      <c r="L22" s="40"/>
    </row>
    <row r="23" spans="1:14">
      <c r="I23" s="40"/>
      <c r="J23" s="40"/>
      <c r="K23" s="40"/>
      <c r="L23" s="40"/>
    </row>
    <row r="24" spans="1:14">
      <c r="I24" s="40"/>
      <c r="J24" s="40"/>
      <c r="K24" s="40"/>
      <c r="L24" s="40"/>
    </row>
    <row r="25" spans="1:14">
      <c r="I25" s="40"/>
      <c r="J25" s="40"/>
      <c r="K25" s="40"/>
      <c r="L25" s="40"/>
    </row>
    <row r="26" spans="1:14">
      <c r="I26" s="40"/>
      <c r="J26" s="40"/>
      <c r="K26" s="40"/>
      <c r="L26" s="40"/>
    </row>
    <row r="27" spans="1:14">
      <c r="I27" s="40"/>
      <c r="J27" s="40"/>
      <c r="K27" s="40"/>
      <c r="L27" s="40"/>
    </row>
    <row r="28" spans="1:14">
      <c r="I28" s="40"/>
      <c r="J28" s="40"/>
      <c r="K28" s="40"/>
      <c r="L28" s="40"/>
    </row>
    <row r="29" spans="1:14">
      <c r="H29" s="299"/>
    </row>
    <row r="30" spans="1:14">
      <c r="G30" s="503"/>
      <c r="H30" s="503"/>
    </row>
  </sheetData>
  <mergeCells count="1">
    <mergeCell ref="G30:H3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zoomScale="90" zoomScaleNormal="90" workbookViewId="0">
      <selection activeCell="D14" sqref="D14"/>
    </sheetView>
  </sheetViews>
  <sheetFormatPr baseColWidth="10" defaultRowHeight="15"/>
  <cols>
    <col min="1" max="1" width="12.7109375" style="40" customWidth="1"/>
    <col min="2" max="2" width="19.28515625" style="40" customWidth="1"/>
    <col min="3" max="3" width="16.28515625" style="40" customWidth="1"/>
    <col min="4" max="4" width="17.7109375" style="40" customWidth="1"/>
    <col min="5" max="5" width="18.7109375" style="40" customWidth="1"/>
    <col min="6" max="8" width="12.7109375" style="40" customWidth="1"/>
    <col min="9" max="12" width="12.7109375" customWidth="1"/>
    <col min="13" max="13" width="10.7109375" customWidth="1"/>
    <col min="14" max="14" width="14.28515625" customWidth="1"/>
  </cols>
  <sheetData>
    <row r="1" spans="1:14" ht="54.6" customHeight="1">
      <c r="A1" s="41"/>
      <c r="B1" s="42"/>
      <c r="C1" s="42"/>
      <c r="D1" s="42"/>
      <c r="E1" s="42"/>
      <c r="F1" s="43"/>
      <c r="G1" s="42"/>
      <c r="H1" s="44"/>
      <c r="I1" s="319"/>
      <c r="J1" s="319"/>
      <c r="K1" s="319"/>
      <c r="L1" s="46"/>
      <c r="M1" s="46"/>
      <c r="N1" s="46">
        <v>45776</v>
      </c>
    </row>
    <row r="2" spans="1:14">
      <c r="A2" s="1"/>
      <c r="B2" s="39"/>
      <c r="C2" s="39"/>
      <c r="D2" s="39"/>
      <c r="E2" s="39"/>
      <c r="F2" s="47"/>
      <c r="G2" s="39"/>
      <c r="L2" s="39"/>
      <c r="M2" s="39"/>
      <c r="N2" s="48"/>
    </row>
    <row r="3" spans="1:14" ht="19.5" thickBot="1">
      <c r="A3" s="49" t="s">
        <v>57</v>
      </c>
      <c r="B3" s="76" t="s">
        <v>146</v>
      </c>
      <c r="C3" s="76"/>
      <c r="D3" s="76"/>
      <c r="E3" s="76"/>
      <c r="F3" s="50"/>
      <c r="G3" s="53"/>
      <c r="H3" s="51"/>
      <c r="I3" s="198"/>
      <c r="J3" s="198"/>
      <c r="K3" s="198"/>
      <c r="L3" s="54"/>
      <c r="M3" s="54"/>
      <c r="N3" s="54" t="s">
        <v>326</v>
      </c>
    </row>
    <row r="4" spans="1:14" ht="15.75" thickBot="1">
      <c r="A4" s="321" t="s">
        <v>166</v>
      </c>
      <c r="B4" s="322" t="s">
        <v>168</v>
      </c>
      <c r="C4" s="323" t="s">
        <v>264</v>
      </c>
      <c r="D4" s="323" t="s">
        <v>188</v>
      </c>
      <c r="E4" s="323" t="s">
        <v>166</v>
      </c>
      <c r="F4" s="322" t="s">
        <v>184</v>
      </c>
      <c r="G4" s="323" t="s">
        <v>171</v>
      </c>
      <c r="H4" s="323" t="s">
        <v>177</v>
      </c>
      <c r="I4" s="323" t="s">
        <v>178</v>
      </c>
      <c r="J4" s="323" t="s">
        <v>181</v>
      </c>
      <c r="K4" s="323" t="s">
        <v>182</v>
      </c>
      <c r="L4" s="323" t="s">
        <v>185</v>
      </c>
      <c r="M4" s="322" t="s">
        <v>24</v>
      </c>
      <c r="N4" s="324" t="s">
        <v>166</v>
      </c>
    </row>
    <row r="5" spans="1:14" ht="27.6" customHeight="1">
      <c r="A5" s="300" t="s">
        <v>303</v>
      </c>
      <c r="B5" s="320" t="s">
        <v>308</v>
      </c>
      <c r="C5" s="306" t="s">
        <v>255</v>
      </c>
      <c r="D5" s="325" t="s">
        <v>313</v>
      </c>
      <c r="E5" s="306" t="s">
        <v>309</v>
      </c>
      <c r="F5" s="320"/>
      <c r="G5" s="306">
        <v>2</v>
      </c>
      <c r="H5" s="306">
        <v>2</v>
      </c>
      <c r="I5" s="306">
        <v>2</v>
      </c>
      <c r="J5" s="306">
        <v>2</v>
      </c>
      <c r="K5" s="306">
        <v>2</v>
      </c>
      <c r="L5" s="306"/>
      <c r="M5" s="320">
        <f>SUM(F5:L5)</f>
        <v>10</v>
      </c>
      <c r="N5" s="301" t="str">
        <f>+A5</f>
        <v>G01</v>
      </c>
    </row>
    <row r="6" spans="1:14">
      <c r="A6" s="65" t="s">
        <v>304</v>
      </c>
      <c r="B6" s="313" t="s">
        <v>314</v>
      </c>
      <c r="C6" s="307" t="s">
        <v>255</v>
      </c>
      <c r="D6" s="307" t="s">
        <v>221</v>
      </c>
      <c r="E6" s="307" t="s">
        <v>309</v>
      </c>
      <c r="F6" s="313"/>
      <c r="G6" s="307">
        <v>1</v>
      </c>
      <c r="H6" s="307">
        <v>1</v>
      </c>
      <c r="I6" s="307">
        <v>1</v>
      </c>
      <c r="J6" s="307">
        <v>1</v>
      </c>
      <c r="K6" s="307">
        <v>1</v>
      </c>
      <c r="L6" s="307"/>
      <c r="M6" s="313">
        <f t="shared" ref="M6:M16" si="0">SUM(F6:L6)</f>
        <v>5</v>
      </c>
      <c r="N6" s="302" t="str">
        <f t="shared" ref="N6:N16" si="1">+A6</f>
        <v>G02</v>
      </c>
    </row>
    <row r="7" spans="1:14" ht="15" customHeight="1">
      <c r="A7" s="65" t="s">
        <v>305</v>
      </c>
      <c r="B7" s="313" t="s">
        <v>311</v>
      </c>
      <c r="C7" s="307" t="s">
        <v>255</v>
      </c>
      <c r="D7" s="307" t="s">
        <v>224</v>
      </c>
      <c r="E7" s="307" t="s">
        <v>309</v>
      </c>
      <c r="F7" s="313"/>
      <c r="G7" s="307">
        <v>1</v>
      </c>
      <c r="H7" s="307">
        <v>1</v>
      </c>
      <c r="I7" s="307">
        <v>1</v>
      </c>
      <c r="J7" s="307">
        <v>1</v>
      </c>
      <c r="K7" s="307">
        <v>1</v>
      </c>
      <c r="L7" s="307"/>
      <c r="M7" s="313">
        <f t="shared" si="0"/>
        <v>5</v>
      </c>
      <c r="N7" s="302" t="str">
        <f t="shared" si="1"/>
        <v>G03</v>
      </c>
    </row>
    <row r="8" spans="1:14" ht="15" customHeight="1">
      <c r="A8" s="65" t="s">
        <v>306</v>
      </c>
      <c r="B8" s="313" t="s">
        <v>312</v>
      </c>
      <c r="C8" s="307" t="s">
        <v>255</v>
      </c>
      <c r="D8" s="307" t="s">
        <v>224</v>
      </c>
      <c r="E8" s="307" t="s">
        <v>309</v>
      </c>
      <c r="F8" s="313"/>
      <c r="G8" s="307">
        <v>1</v>
      </c>
      <c r="H8" s="307">
        <v>1</v>
      </c>
      <c r="I8" s="307">
        <v>1</v>
      </c>
      <c r="J8" s="307">
        <v>1</v>
      </c>
      <c r="K8" s="307">
        <v>1</v>
      </c>
      <c r="L8" s="307"/>
      <c r="M8" s="313">
        <f t="shared" si="0"/>
        <v>5</v>
      </c>
      <c r="N8" s="302" t="str">
        <f t="shared" si="1"/>
        <v>G04</v>
      </c>
    </row>
    <row r="9" spans="1:14">
      <c r="A9" s="65" t="s">
        <v>307</v>
      </c>
      <c r="B9" s="313" t="s">
        <v>315</v>
      </c>
      <c r="C9" s="307" t="s">
        <v>255</v>
      </c>
      <c r="D9" s="307" t="s">
        <v>256</v>
      </c>
      <c r="E9" s="307" t="s">
        <v>309</v>
      </c>
      <c r="F9" s="313"/>
      <c r="G9" s="307">
        <v>1</v>
      </c>
      <c r="H9" s="307">
        <v>1</v>
      </c>
      <c r="I9" s="307">
        <v>1</v>
      </c>
      <c r="J9" s="307">
        <v>1</v>
      </c>
      <c r="K9" s="307">
        <v>1</v>
      </c>
      <c r="L9" s="307"/>
      <c r="M9" s="313">
        <f t="shared" si="0"/>
        <v>5</v>
      </c>
      <c r="N9" s="302" t="str">
        <f t="shared" si="1"/>
        <v>G05</v>
      </c>
    </row>
    <row r="10" spans="1:14" ht="15.75" thickBot="1">
      <c r="A10" s="303" t="s">
        <v>316</v>
      </c>
      <c r="B10" s="314" t="s">
        <v>318</v>
      </c>
      <c r="C10" s="308" t="s">
        <v>255</v>
      </c>
      <c r="D10" s="308" t="s">
        <v>317</v>
      </c>
      <c r="E10" s="308" t="s">
        <v>309</v>
      </c>
      <c r="F10" s="314"/>
      <c r="G10" s="308">
        <v>1</v>
      </c>
      <c r="H10" s="308">
        <v>1</v>
      </c>
      <c r="I10" s="308">
        <v>1</v>
      </c>
      <c r="J10" s="308">
        <v>1</v>
      </c>
      <c r="K10" s="308">
        <v>1</v>
      </c>
      <c r="L10" s="308"/>
      <c r="M10" s="314">
        <f t="shared" si="0"/>
        <v>5</v>
      </c>
      <c r="N10" s="304" t="str">
        <f t="shared" si="1"/>
        <v>G06</v>
      </c>
    </row>
    <row r="11" spans="1:14">
      <c r="A11" s="285" t="s">
        <v>417</v>
      </c>
      <c r="B11" s="335" t="s">
        <v>418</v>
      </c>
      <c r="C11" s="40" t="s">
        <v>323</v>
      </c>
      <c r="D11" s="40" t="s">
        <v>225</v>
      </c>
      <c r="E11" s="40" t="s">
        <v>324</v>
      </c>
      <c r="F11" s="335"/>
      <c r="G11" s="40">
        <v>1</v>
      </c>
      <c r="H11" s="40">
        <v>1</v>
      </c>
      <c r="I11" s="40">
        <v>1</v>
      </c>
      <c r="J11" s="40">
        <v>1</v>
      </c>
      <c r="K11" s="40">
        <v>1</v>
      </c>
      <c r="L11" s="40"/>
      <c r="M11" s="335">
        <f t="shared" si="0"/>
        <v>5</v>
      </c>
      <c r="N11" s="286" t="str">
        <f t="shared" si="1"/>
        <v>M01</v>
      </c>
    </row>
    <row r="12" spans="1:14" ht="15.75" thickBot="1">
      <c r="A12" s="285" t="s">
        <v>419</v>
      </c>
      <c r="B12" s="335" t="s">
        <v>420</v>
      </c>
      <c r="C12" s="40" t="s">
        <v>323</v>
      </c>
      <c r="D12" s="40" t="s">
        <v>256</v>
      </c>
      <c r="E12" s="40" t="s">
        <v>324</v>
      </c>
      <c r="F12" s="335"/>
      <c r="G12" s="40">
        <v>1</v>
      </c>
      <c r="H12" s="40">
        <v>1</v>
      </c>
      <c r="I12" s="40">
        <v>1</v>
      </c>
      <c r="J12" s="40">
        <v>1</v>
      </c>
      <c r="K12" s="40">
        <v>1</v>
      </c>
      <c r="L12" s="40"/>
      <c r="M12" s="335">
        <f t="shared" ref="M12" si="2">SUM(F12:L12)</f>
        <v>5</v>
      </c>
      <c r="N12" s="286" t="str">
        <f t="shared" ref="N12" si="3">+A12</f>
        <v>M02</v>
      </c>
    </row>
    <row r="13" spans="1:14" ht="27.6" customHeight="1">
      <c r="A13" s="300" t="s">
        <v>319</v>
      </c>
      <c r="B13" s="320">
        <v>1.5</v>
      </c>
      <c r="C13" s="306" t="s">
        <v>323</v>
      </c>
      <c r="D13" s="325" t="s">
        <v>325</v>
      </c>
      <c r="E13" s="325" t="s">
        <v>324</v>
      </c>
      <c r="F13" s="320"/>
      <c r="G13" s="306">
        <v>3</v>
      </c>
      <c r="H13" s="306">
        <v>3</v>
      </c>
      <c r="I13" s="306">
        <v>3</v>
      </c>
      <c r="J13" s="306">
        <v>3</v>
      </c>
      <c r="K13" s="306">
        <v>3</v>
      </c>
      <c r="L13" s="306"/>
      <c r="M13" s="320">
        <f t="shared" si="0"/>
        <v>15</v>
      </c>
      <c r="N13" s="301" t="str">
        <f t="shared" si="1"/>
        <v>MZ-01</v>
      </c>
    </row>
    <row r="14" spans="1:14">
      <c r="A14" s="65" t="s">
        <v>320</v>
      </c>
      <c r="B14" s="313">
        <v>1.59</v>
      </c>
      <c r="C14" s="297" t="s">
        <v>323</v>
      </c>
      <c r="D14" s="297" t="s">
        <v>225</v>
      </c>
      <c r="E14" s="96" t="s">
        <v>324</v>
      </c>
      <c r="F14" s="313"/>
      <c r="G14" s="307">
        <v>1</v>
      </c>
      <c r="H14" s="307">
        <v>1</v>
      </c>
      <c r="I14" s="307">
        <v>1</v>
      </c>
      <c r="J14" s="307">
        <v>1</v>
      </c>
      <c r="K14" s="307">
        <v>1</v>
      </c>
      <c r="L14" s="307"/>
      <c r="M14" s="313">
        <f t="shared" si="0"/>
        <v>5</v>
      </c>
      <c r="N14" s="302" t="str">
        <f t="shared" si="1"/>
        <v>MZ-02</v>
      </c>
    </row>
    <row r="15" spans="1:14">
      <c r="A15" s="65" t="s">
        <v>321</v>
      </c>
      <c r="B15" s="313">
        <v>0.8</v>
      </c>
      <c r="C15" s="297" t="s">
        <v>323</v>
      </c>
      <c r="D15" s="297" t="s">
        <v>221</v>
      </c>
      <c r="E15" s="96" t="s">
        <v>324</v>
      </c>
      <c r="F15" s="313"/>
      <c r="G15" s="307">
        <v>1</v>
      </c>
      <c r="H15" s="307">
        <v>1</v>
      </c>
      <c r="I15" s="307">
        <v>1</v>
      </c>
      <c r="J15" s="307">
        <v>1</v>
      </c>
      <c r="K15" s="307">
        <v>1</v>
      </c>
      <c r="L15" s="307"/>
      <c r="M15" s="313">
        <f t="shared" si="0"/>
        <v>5</v>
      </c>
      <c r="N15" s="302" t="str">
        <f t="shared" si="1"/>
        <v>MZ-03</v>
      </c>
    </row>
    <row r="16" spans="1:14" ht="15.75" thickBot="1">
      <c r="A16" s="303" t="s">
        <v>322</v>
      </c>
      <c r="B16" s="314">
        <v>1.3</v>
      </c>
      <c r="C16" s="288" t="s">
        <v>323</v>
      </c>
      <c r="D16" s="288" t="s">
        <v>224</v>
      </c>
      <c r="E16" s="326" t="s">
        <v>324</v>
      </c>
      <c r="F16" s="314"/>
      <c r="G16" s="308">
        <v>1</v>
      </c>
      <c r="H16" s="308">
        <v>1</v>
      </c>
      <c r="I16" s="308">
        <v>1</v>
      </c>
      <c r="J16" s="308">
        <v>1</v>
      </c>
      <c r="K16" s="308">
        <v>1</v>
      </c>
      <c r="L16" s="308"/>
      <c r="M16" s="314">
        <f t="shared" si="0"/>
        <v>5</v>
      </c>
      <c r="N16" s="304" t="str">
        <f t="shared" si="1"/>
        <v>MZ-04</v>
      </c>
    </row>
    <row r="17" spans="7:12">
      <c r="I17" s="40"/>
      <c r="J17" s="40"/>
      <c r="K17" s="40"/>
      <c r="L17" s="40"/>
    </row>
    <row r="18" spans="7:12">
      <c r="I18" s="40"/>
      <c r="J18" s="40"/>
      <c r="K18" s="40"/>
      <c r="L18" s="40"/>
    </row>
    <row r="19" spans="7:12">
      <c r="I19" s="40"/>
      <c r="J19" s="40"/>
      <c r="K19" s="40"/>
      <c r="L19" s="40"/>
    </row>
    <row r="20" spans="7:12">
      <c r="I20" s="40"/>
      <c r="J20" s="40"/>
      <c r="K20" s="40"/>
      <c r="L20" s="40"/>
    </row>
    <row r="21" spans="7:12">
      <c r="I21" s="40"/>
      <c r="J21" s="40"/>
      <c r="K21" s="40"/>
      <c r="L21" s="40"/>
    </row>
    <row r="22" spans="7:12">
      <c r="I22" s="40"/>
      <c r="J22" s="40"/>
      <c r="K22" s="40"/>
      <c r="L22" s="40"/>
    </row>
    <row r="23" spans="7:12">
      <c r="I23" s="40"/>
      <c r="J23" s="40"/>
      <c r="K23" s="40"/>
      <c r="L23" s="40"/>
    </row>
    <row r="24" spans="7:12">
      <c r="I24" s="40"/>
      <c r="J24" s="40"/>
      <c r="K24" s="40"/>
      <c r="L24" s="40"/>
    </row>
    <row r="25" spans="7:12">
      <c r="I25" s="40"/>
      <c r="J25" s="40"/>
      <c r="K25" s="40"/>
      <c r="L25" s="40"/>
    </row>
    <row r="26" spans="7:12">
      <c r="I26" s="40"/>
      <c r="J26" s="40"/>
      <c r="K26" s="40"/>
      <c r="L26" s="40"/>
    </row>
    <row r="27" spans="7:12">
      <c r="I27" s="40"/>
      <c r="J27" s="40"/>
      <c r="K27" s="40"/>
      <c r="L27" s="40"/>
    </row>
    <row r="28" spans="7:12">
      <c r="H28" s="299"/>
    </row>
    <row r="29" spans="7:12">
      <c r="G29" s="503"/>
      <c r="H29" s="503"/>
    </row>
  </sheetData>
  <mergeCells count="1">
    <mergeCell ref="G29:H2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Presupuesto</vt:lpstr>
      <vt:lpstr>Muros y terminaciones</vt:lpstr>
      <vt:lpstr>Hormigón</vt:lpstr>
      <vt:lpstr>Conteo puertas</vt:lpstr>
      <vt:lpstr>Conteo Placares</vt:lpstr>
      <vt:lpstr>Conteo vent. Alu.</vt:lpstr>
      <vt:lpstr>Conteo barandas</vt:lpstr>
      <vt:lpstr>Herrería</vt:lpstr>
      <vt:lpstr>Conteo de granitos</vt:lpstr>
      <vt:lpstr>Conteo de mueble de cocina</vt:lpstr>
      <vt:lpstr>Aparatos sanit. y acc.</vt:lpstr>
    </vt:vector>
  </TitlesOfParts>
  <Company>Lobillo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Lobillo</dc:creator>
  <cp:lastModifiedBy>MARCELA FAJARDO</cp:lastModifiedBy>
  <cp:lastPrinted>2025-07-22T15:06:34Z</cp:lastPrinted>
  <dcterms:created xsi:type="dcterms:W3CDTF">2023-09-11T10:52:57Z</dcterms:created>
  <dcterms:modified xsi:type="dcterms:W3CDTF">2026-06-11T14:33:13Z</dcterms:modified>
</cp:coreProperties>
</file>